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24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<sst xmlns="http://schemas.openxmlformats.org/spreadsheetml/2006/main" count="212" uniqueCount="75">
  <si>
    <r>
      <t>77 212,28 лв.  /</t>
    </r>
    <r>
      <rPr>
        <sz val="9"/>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</si>
  <si>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17 101,20 лв.</t>
    </r>
    <r>
      <rPr>
        <sz val="9"/>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</si>
  <si>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19 380 лв.</t>
    </r>
    <r>
      <rPr>
        <sz val="9"/>
        <rFont val="Times New Roman"/>
        <family val="1"/>
      </rPr>
      <t xml:space="preserve"> /На 30.09.2016г. са освободени  </t>
    </r>
    <r>
      <rPr>
        <b/>
        <sz val="9"/>
        <rFont val="Times New Roman"/>
        <family val="1"/>
      </rPr>
      <t>19 380</t>
    </r>
    <r>
      <rPr>
        <sz val="9"/>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</si>
  <si>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 xml:space="preserve"> </t>
    </r>
    <r>
      <rPr>
        <b/>
        <sz val="9"/>
        <rFont val="Times New Roman"/>
        <family val="1"/>
      </rPr>
      <t>10 800 лв.</t>
    </r>
    <r>
      <rPr>
        <sz val="9"/>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</si>
  <si>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18 720 лв.</t>
    </r>
    <r>
      <rPr>
        <sz val="9"/>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</si>
  <si>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4 032 лв.</t>
    </r>
    <r>
      <rPr>
        <sz val="9"/>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</si>
  <si>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54 000 лв.</t>
    </r>
    <r>
      <rPr>
        <sz val="9"/>
        <rFont val="Times New Roman"/>
        <family val="1"/>
      </rPr>
      <t xml:space="preserve"> /На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t>
    </r>
  </si>
  <si>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</si>
  <si>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</si>
  <si>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</si>
  <si>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</si>
  <si>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</si>
  <si>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</si>
  <si>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</si>
  <si>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</si>
  <si>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</si>
  <si>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</si>
  <si>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</si>
  <si>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</si>
  <si>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</si>
  <si>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</si>
  <si>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</si>
  <si>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</si>
  <si>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</si>
  <si>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</si>
  <si>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</si>
  <si>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</si>
  <si>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</si>
  <si>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</si>
  <si>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</si>
  <si>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</si>
  <si>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</si>
  <si>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</si>
  <si>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</si>
  <si>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</si>
  <si>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</si>
  <si>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</si>
  <si>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</si>
  <si>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</si>
  <si>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</si>
  <si>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</si>
  <si>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</si>
  <si>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Регионално депо за неопасни отпадъци на общините  Доспат, Девин, Борино и Сатовча/ Клетка №1</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</si>
  <si>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</si>
  <si>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</si>
  <si>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</si>
  <si>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</si>
  <si>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</si>
  <si>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</si>
  <si>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</si>
  <si>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r>
      <t>7 950 лв.</t>
    </r>
    <r>
      <rPr>
        <sz val="9"/>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</si>
  <si>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9"/>
        <rFont val="Times New Roman"/>
        <family val="1"/>
      </rPr>
      <t xml:space="preserve"> /На 05.02.2016г. са разрешени 3 450 </t>
    </r>
    <r>
      <rPr>
        <b/>
        <sz val="9"/>
        <rFont val="Times New Roman"/>
        <family val="1"/>
      </rPr>
      <t>л</t>
    </r>
    <r>
      <rPr>
        <sz val="9"/>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</si>
  <si>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 </t>
    </r>
    <r>
      <rPr>
        <b/>
        <sz val="9"/>
        <rFont val="Times New Roman"/>
        <family val="1"/>
      </rPr>
      <t xml:space="preserve">3 726 лв. </t>
    </r>
    <r>
      <rPr>
        <sz val="9"/>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</si>
  <si>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 xml:space="preserve">12 480 лв. </t>
    </r>
    <r>
      <rPr>
        <sz val="9"/>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</si>
  <si>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 xml:space="preserve">16 128 лв. </t>
    </r>
    <r>
      <rPr>
        <sz val="9"/>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</si>
  <si>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7 200 лв.</t>
    </r>
    <r>
      <rPr>
        <sz val="9"/>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</si>
  <si>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9"/>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</si>
  <si>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9"/>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</si>
  <si>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346 835,81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t>
    </r>
  </si>
  <si>
    <t>м.01.-м.03.2017г.</t>
  </si>
  <si>
    <t>2016г.                   /м.01-м.09.2016 г./</t>
  </si>
  <si>
    <t>Сърница</t>
  </si>
  <si>
    <t>м.03.2017г.</t>
  </si>
  <si>
    <t>2. От края на м. Март 2017г. Община Сърница започва да депонира отпадъци на Регионално депо за неопасни отпадъци с. Барутин, общ. Доспат.</t>
  </si>
  <si>
    <r>
      <t>7 200 лв.</t>
    </r>
    <r>
      <rPr>
        <sz val="9"/>
        <rFont val="Times New Roman"/>
        <family val="1"/>
      </rPr>
      <t xml:space="preserve"> /На 22.02.2017г. са освободени 7 200 лв. за междинно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</si>
  <si>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t>
    </r>
    <r>
      <rPr>
        <b/>
        <sz val="9"/>
        <rFont val="Times New Roman"/>
        <family val="1"/>
      </rPr>
      <t>1 848 лв.</t>
    </r>
    <r>
      <rPr>
        <sz val="9"/>
        <rFont val="Times New Roman"/>
        <family val="1"/>
      </rPr>
      <t xml:space="preserve"> /На  03.01.2017г. са дадени на община Неделино 1 848 лв. за  закупуване на 40 бр. пластмасови кофи за отпадъци/</t>
    </r>
  </si>
  <si>
    <r>
      <t xml:space="preserve">2 155 386,51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368801,46 лв., но от тях през 2016г. са изплатени  само 245 000 лв. и на 04.01.2017г.  останалите 123 801.46 лв./</t>
    </r>
  </si>
  <si>
    <t>други</t>
  </si>
  <si>
    <r>
      <t>88 076,40 лв. /</t>
    </r>
    <r>
      <rPr>
        <sz val="9"/>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</si>
  <si>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t>4. В колона "Забележки" са посочени  общо отпуснатите средства по проект за съответното депо. Сумите не са за отделни общини.</t>
  </si>
  <si>
    <t>3. Платената лихва от община Доспат в размер на 6 150,63 лв. е съгласно погасителния план и включва: част от лихва по АУПДВ №4/14.09.2016г. в размер на  1071,78 лв.  и част от лихва за просрочие в размер на 5 687,69 лв., като лихвите са общо по чл. 60 и чл. 64 от ЗУО.</t>
  </si>
  <si>
    <r>
      <t xml:space="preserve">13 788,60 лв. </t>
    </r>
    <r>
      <rPr>
        <sz val="9"/>
        <rFont val="Times New Roman"/>
        <family val="1"/>
      </rPr>
      <t>/На 24.01.2017г. са разрешени 13 788,60 лв. за извършване на послеследващи разходи на Регионално депо Мадан/</t>
    </r>
  </si>
  <si>
    <r>
      <t xml:space="preserve">12 205,68 лв. </t>
    </r>
    <r>
      <rPr>
        <sz val="9"/>
        <rFont val="Times New Roman"/>
        <family val="1"/>
      </rPr>
      <t>/На 28.03.2017г. са освободени  12 205,68 лв. за извършване на последващи разходи на депото/</t>
    </r>
  </si>
  <si>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</si>
  <si>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r>
      <t>Забележки</t>
    </r>
    <r>
      <rPr>
        <b/>
        <i/>
        <sz val="9"/>
        <rFont val="Times New Roman"/>
        <family val="1"/>
      </rPr>
      <t xml:space="preserve">: </t>
    </r>
  </si>
</sst>
</file>

<file path=xl/styles.xml><?xml version="1.0" encoding="utf-8"?>
<styleSheet xmlns="http://schemas.openxmlformats.org/spreadsheetml/2006/main">
  <numFmts count="2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 &quot;лв.&quot;"/>
    <numFmt numFmtId="173" formatCode="_-* #,##0.00\ [$€]_-;\-* #,##0.00\ [$€]_-;_-* &quot;-&quot;??\ [$€]_-;_-@_-"/>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10">
    <font>
      <sz val="10"/>
      <name val="Arial"/>
      <family val="0"/>
    </font>
    <font>
      <sz val="8"/>
      <name val="Arial"/>
      <family val="0"/>
    </font>
    <font>
      <b/>
      <sz val="10"/>
      <name val="Times New Roman"/>
      <family val="1"/>
    </font>
    <font>
      <sz val="9"/>
      <name val="Times New Roman"/>
      <family val="1"/>
    </font>
    <font>
      <b/>
      <sz val="9"/>
      <name val="Times New Roman"/>
      <family val="1"/>
    </font>
    <font>
      <sz val="9"/>
      <color indexed="8"/>
      <name val="Times New Roman"/>
      <family val="1"/>
    </font>
    <font>
      <sz val="9"/>
      <color indexed="10"/>
      <name val="Times New Roman"/>
      <family val="1"/>
    </font>
    <font>
      <sz val="10"/>
      <name val="Times New Roman"/>
      <family val="1"/>
    </font>
    <font>
      <b/>
      <i/>
      <u val="single"/>
      <sz val="9"/>
      <name val="Times New Roman"/>
      <family val="1"/>
    </font>
    <font>
      <b/>
      <i/>
      <sz val="9"/>
      <name val="Times New Roman"/>
      <family val="1"/>
    </font>
  </fonts>
  <fills count="11">
    <fill>
      <patternFill/>
    </fill>
    <fill>
      <patternFill patternType="gray125"/>
    </fill>
    <fill>
      <patternFill patternType="solid">
        <fgColor indexed="50"/>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indexed="51"/>
        <bgColor indexed="64"/>
      </patternFill>
    </fill>
    <fill>
      <patternFill patternType="solid">
        <fgColor indexed="10"/>
        <bgColor indexed="64"/>
      </patternFill>
    </fill>
    <fill>
      <patternFill patternType="solid">
        <fgColor indexed="13"/>
        <bgColor indexed="64"/>
      </patternFill>
    </fill>
    <fill>
      <patternFill patternType="solid">
        <fgColor indexed="48"/>
        <bgColor indexed="64"/>
      </patternFill>
    </fill>
    <fill>
      <patternFill patternType="solid">
        <fgColor indexed="53"/>
        <bgColor indexed="64"/>
      </patternFill>
    </fill>
  </fills>
  <borders count="8">
    <border>
      <left/>
      <right/>
      <top/>
      <bottom/>
      <diagonal/>
    </border>
    <border>
      <left style="medium"/>
      <right style="medium"/>
      <top style="medium"/>
      <bottom style="medium"/>
    </border>
    <border>
      <left style="medium"/>
      <right style="medium"/>
      <top style="thin"/>
      <bottom style="mediu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3" fillId="0" borderId="1" xfId="0" applyFont="1" applyBorder="1" applyAlignment="1">
      <alignment horizontal="left" vertical="center"/>
    </xf>
    <xf numFmtId="4" fontId="4" fillId="2" borderId="1" xfId="0" applyNumberFormat="1" applyFont="1" applyFill="1" applyBorder="1" applyAlignment="1">
      <alignment/>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172" fontId="4" fillId="0" borderId="1" xfId="0" applyNumberFormat="1" applyFont="1" applyBorder="1" applyAlignment="1">
      <alignment vertical="center" wrapText="1"/>
    </xf>
    <xf numFmtId="0" fontId="4" fillId="2" borderId="1" xfId="0" applyFont="1" applyFill="1" applyBorder="1" applyAlignment="1">
      <alignment/>
    </xf>
    <xf numFmtId="0" fontId="5" fillId="0" borderId="1" xfId="0" applyFont="1" applyBorder="1" applyAlignment="1">
      <alignment horizontal="center" vertical="center" wrapText="1"/>
    </xf>
    <xf numFmtId="4" fontId="3" fillId="0" borderId="1" xfId="0" applyNumberFormat="1" applyFont="1" applyBorder="1" applyAlignment="1">
      <alignment horizontal="right" vertical="center"/>
    </xf>
    <xf numFmtId="172" fontId="3" fillId="0" borderId="1" xfId="0" applyNumberFormat="1" applyFont="1" applyBorder="1" applyAlignment="1">
      <alignment horizontal="right" vertical="center"/>
    </xf>
    <xf numFmtId="172" fontId="3" fillId="0" borderId="1"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4" fontId="3" fillId="0" borderId="0" xfId="0" applyNumberFormat="1" applyFont="1" applyFill="1" applyBorder="1" applyAlignment="1">
      <alignment horizontal="right" vertical="center"/>
    </xf>
    <xf numFmtId="172" fontId="3" fillId="0" borderId="0" xfId="0" applyNumberFormat="1" applyFont="1" applyFill="1" applyBorder="1" applyAlignment="1">
      <alignment horizontal="right" vertical="center"/>
    </xf>
    <xf numFmtId="0" fontId="0" fillId="0" borderId="0" xfId="0" applyFill="1" applyAlignment="1">
      <alignment/>
    </xf>
    <xf numFmtId="172" fontId="3" fillId="0" borderId="1" xfId="0" applyNumberFormat="1" applyFont="1" applyBorder="1" applyAlignment="1">
      <alignment horizontal="center" vertical="center"/>
    </xf>
    <xf numFmtId="172" fontId="3" fillId="0" borderId="1" xfId="0" applyNumberFormat="1" applyFont="1" applyFill="1" applyBorder="1" applyAlignment="1">
      <alignment vertical="center"/>
    </xf>
    <xf numFmtId="4" fontId="3" fillId="0" borderId="1" xfId="0" applyNumberFormat="1" applyFont="1" applyFill="1" applyBorder="1" applyAlignment="1">
      <alignment vertical="center"/>
    </xf>
    <xf numFmtId="0" fontId="3" fillId="0" borderId="1" xfId="0" applyFont="1" applyFill="1" applyBorder="1" applyAlignment="1">
      <alignment horizontal="left" vertical="center"/>
    </xf>
    <xf numFmtId="172"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72" fontId="3" fillId="0" borderId="2"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wrapText="1"/>
    </xf>
    <xf numFmtId="4" fontId="4" fillId="0" borderId="1" xfId="0" applyNumberFormat="1" applyFont="1" applyFill="1" applyBorder="1" applyAlignment="1">
      <alignment vertical="center" wrapText="1"/>
    </xf>
    <xf numFmtId="4" fontId="4" fillId="2" borderId="1" xfId="0" applyNumberFormat="1" applyFont="1" applyFill="1" applyBorder="1" applyAlignment="1">
      <alignment horizontal="right" vertical="center"/>
    </xf>
    <xf numFmtId="0" fontId="6" fillId="0" borderId="1" xfId="0" applyFont="1" applyFill="1" applyBorder="1" applyAlignment="1">
      <alignment/>
    </xf>
    <xf numFmtId="0" fontId="6" fillId="0"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2" fontId="3" fillId="0" borderId="1" xfId="0" applyNumberFormat="1" applyFont="1" applyFill="1" applyBorder="1" applyAlignment="1">
      <alignment/>
    </xf>
    <xf numFmtId="0" fontId="3" fillId="0" borderId="1" xfId="0" applyFont="1" applyFill="1" applyBorder="1" applyAlignment="1">
      <alignment/>
    </xf>
    <xf numFmtId="4" fontId="3" fillId="0" borderId="1" xfId="0" applyNumberFormat="1" applyFont="1" applyFill="1" applyBorder="1" applyAlignment="1">
      <alignment/>
    </xf>
    <xf numFmtId="4" fontId="6" fillId="0" borderId="1" xfId="0" applyNumberFormat="1" applyFont="1" applyFill="1" applyBorder="1" applyAlignment="1">
      <alignment/>
    </xf>
    <xf numFmtId="0" fontId="3" fillId="0" borderId="1" xfId="0" applyFont="1" applyFill="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justify" wrapText="1"/>
    </xf>
    <xf numFmtId="172" fontId="3" fillId="0" borderId="0" xfId="0" applyNumberFormat="1" applyFont="1"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Border="1" applyAlignment="1">
      <alignment horizontal="center" vertical="center" wrapText="1"/>
    </xf>
    <xf numFmtId="0" fontId="3" fillId="0" borderId="1" xfId="0" applyFont="1" applyFill="1" applyBorder="1" applyAlignment="1">
      <alignment horizontal="left" vertical="center" wrapText="1"/>
    </xf>
    <xf numFmtId="172" fontId="3" fillId="0" borderId="3"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72" fontId="4" fillId="0" borderId="1" xfId="0" applyNumberFormat="1" applyFont="1" applyFill="1" applyBorder="1" applyAlignment="1">
      <alignment vertical="center" wrapText="1"/>
    </xf>
    <xf numFmtId="0" fontId="2" fillId="5" borderId="1" xfId="0" applyFont="1" applyFill="1" applyBorder="1" applyAlignment="1">
      <alignment horizontal="left" vertic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0" fillId="0" borderId="5" xfId="0" applyBorder="1" applyAlignment="1">
      <alignment/>
    </xf>
    <xf numFmtId="0" fontId="2" fillId="6"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3" fillId="0" borderId="7" xfId="0" applyFont="1" applyFill="1" applyBorder="1" applyAlignment="1">
      <alignment vertical="center"/>
    </xf>
    <xf numFmtId="0" fontId="3" fillId="0" borderId="6" xfId="0" applyFont="1" applyFill="1" applyBorder="1" applyAlignment="1">
      <alignment vertical="center"/>
    </xf>
    <xf numFmtId="0" fontId="3" fillId="0" borderId="3" xfId="0" applyFont="1" applyFill="1" applyBorder="1" applyAlignment="1">
      <alignmen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justify" wrapText="1"/>
    </xf>
    <xf numFmtId="0" fontId="4" fillId="0" borderId="6" xfId="0" applyFont="1" applyBorder="1" applyAlignment="1">
      <alignment horizontal="center" vertical="justify" wrapText="1"/>
    </xf>
    <xf numFmtId="0" fontId="2" fillId="2" borderId="1" xfId="0" applyFont="1" applyFill="1" applyBorder="1" applyAlignment="1">
      <alignment horizontal="left" vertical="center" wrapText="1"/>
    </xf>
    <xf numFmtId="0" fontId="2" fillId="8" borderId="1"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6" xfId="0" applyFont="1" applyBorder="1" applyAlignment="1">
      <alignment horizontal="center" vertical="center" wrapText="1"/>
    </xf>
    <xf numFmtId="0" fontId="2" fillId="3" borderId="1" xfId="0" applyFont="1" applyFill="1" applyBorder="1" applyAlignment="1">
      <alignment horizontal="left" wrapText="1"/>
    </xf>
    <xf numFmtId="0" fontId="4" fillId="0" borderId="1" xfId="0" applyFont="1" applyBorder="1" applyAlignment="1">
      <alignment horizontal="center" vertical="center" wrapText="1"/>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2" fillId="9"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justify" wrapText="1"/>
    </xf>
    <xf numFmtId="0" fontId="4" fillId="0" borderId="3" xfId="0" applyFont="1" applyBorder="1" applyAlignment="1">
      <alignment horizontal="center" vertical="center"/>
    </xf>
    <xf numFmtId="0" fontId="4" fillId="0" borderId="1" xfId="0" applyFont="1" applyBorder="1" applyAlignment="1">
      <alignment vertical="center" wrapText="1"/>
    </xf>
    <xf numFmtId="0" fontId="3" fillId="0" borderId="1" xfId="0" applyFont="1" applyBorder="1" applyAlignment="1">
      <alignment/>
    </xf>
    <xf numFmtId="4" fontId="3" fillId="0" borderId="1" xfId="0" applyNumberFormat="1" applyFont="1" applyBorder="1" applyAlignment="1">
      <alignment/>
    </xf>
    <xf numFmtId="0" fontId="7" fillId="0" borderId="1"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4" fontId="3" fillId="2" borderId="1" xfId="0" applyNumberFormat="1" applyFont="1" applyFill="1" applyBorder="1" applyAlignment="1">
      <alignment/>
    </xf>
    <xf numFmtId="0" fontId="3" fillId="2" borderId="1" xfId="0" applyFont="1" applyFill="1" applyBorder="1" applyAlignment="1">
      <alignment/>
    </xf>
    <xf numFmtId="0" fontId="7" fillId="0" borderId="3" xfId="0" applyFont="1" applyBorder="1" applyAlignment="1">
      <alignment horizontal="center" vertical="justify" wrapText="1"/>
    </xf>
    <xf numFmtId="0" fontId="7" fillId="0" borderId="3" xfId="0" applyFont="1" applyFill="1" applyBorder="1" applyAlignment="1">
      <alignment vertical="center"/>
    </xf>
    <xf numFmtId="4" fontId="3" fillId="0" borderId="0" xfId="0" applyNumberFormat="1" applyFont="1" applyFill="1" applyBorder="1" applyAlignment="1">
      <alignment/>
    </xf>
    <xf numFmtId="0" fontId="8" fillId="0" borderId="0" xfId="0" applyFont="1" applyAlignment="1">
      <alignment/>
    </xf>
    <xf numFmtId="0" fontId="3" fillId="0" borderId="0" xfId="0" applyFont="1" applyAlignment="1">
      <alignment/>
    </xf>
    <xf numFmtId="0" fontId="7" fillId="0" borderId="0" xfId="0" applyFont="1" applyAlignment="1">
      <alignment/>
    </xf>
    <xf numFmtId="172" fontId="3" fillId="0" borderId="0" xfId="0" applyNumberFormat="1" applyFont="1" applyAlignment="1">
      <alignment/>
    </xf>
    <xf numFmtId="0" fontId="3" fillId="0" borderId="0" xfId="0" applyFont="1" applyFill="1" applyAlignment="1">
      <alignment wrapText="1"/>
    </xf>
    <xf numFmtId="172" fontId="7" fillId="0" borderId="0" xfId="0" applyNumberFormat="1" applyFont="1" applyAlignment="1">
      <alignment/>
    </xf>
    <xf numFmtId="0" fontId="3" fillId="0" borderId="0" xfId="0" applyFont="1" applyAlignment="1">
      <alignment vertical="center" wrapText="1"/>
    </xf>
    <xf numFmtId="0" fontId="7" fillId="0" borderId="0" xfId="0" applyFont="1" applyFill="1" applyAlignment="1">
      <alignment wrapText="1"/>
    </xf>
    <xf numFmtId="0" fontId="7" fillId="0" borderId="0" xfId="0" applyFont="1" applyAlignment="1">
      <alignment vertical="center" wrapText="1"/>
    </xf>
  </cellXfs>
  <cellStyles count="7">
    <cellStyle name="Normal" xfId="0"/>
    <cellStyle name="Comma" xfId="15"/>
    <cellStyle name="Comma [0]" xfId="16"/>
    <cellStyle name="Currency" xfId="17"/>
    <cellStyle name="Currency [0]" xfId="18"/>
    <cellStyle name="Euro"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6"/>
  <sheetViews>
    <sheetView tabSelected="1" workbookViewId="0" topLeftCell="A78">
      <selection activeCell="M74" sqref="M74"/>
    </sheetView>
  </sheetViews>
  <sheetFormatPr defaultColWidth="9.140625" defaultRowHeight="12.75"/>
  <cols>
    <col min="1" max="1" width="4.7109375" style="0" customWidth="1"/>
    <col min="3" max="3" width="10.8515625" style="0" customWidth="1"/>
    <col min="4" max="4" width="14.00390625" style="0" customWidth="1"/>
    <col min="5" max="5" width="16.421875" style="0" customWidth="1"/>
    <col min="6" max="6" width="17.00390625" style="0" customWidth="1"/>
    <col min="7" max="7" width="14.140625" style="0" customWidth="1"/>
    <col min="8" max="8" width="15.28125" style="0" customWidth="1"/>
    <col min="9" max="9" width="16.00390625" style="0" customWidth="1"/>
    <col min="10" max="10" width="17.7109375" style="0" customWidth="1"/>
    <col min="11" max="11" width="13.42187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19" width="11.7109375" style="0" customWidth="1"/>
    <col min="20" max="20" width="10.140625" style="0" bestFit="1" customWidth="1"/>
  </cols>
  <sheetData>
    <row r="1" spans="1:19" ht="27" customHeight="1" thickBot="1">
      <c r="A1" s="53" t="s">
        <v>73</v>
      </c>
      <c r="B1" s="54"/>
      <c r="C1" s="54"/>
      <c r="D1" s="54"/>
      <c r="E1" s="54"/>
      <c r="F1" s="54"/>
      <c r="G1" s="54"/>
      <c r="H1" s="54"/>
      <c r="I1" s="54"/>
      <c r="J1" s="54"/>
      <c r="K1" s="54"/>
      <c r="L1" s="54"/>
      <c r="M1" s="54"/>
      <c r="N1" s="54"/>
      <c r="O1" s="54"/>
      <c r="P1" s="54"/>
      <c r="Q1" s="55"/>
      <c r="R1" s="55"/>
      <c r="S1" s="55"/>
    </row>
    <row r="2" spans="1:19" ht="27" customHeight="1" thickBot="1">
      <c r="A2" s="58" t="s">
        <v>21</v>
      </c>
      <c r="B2" s="58" t="s">
        <v>22</v>
      </c>
      <c r="C2" s="58" t="s">
        <v>7</v>
      </c>
      <c r="D2" s="76" t="s">
        <v>11</v>
      </c>
      <c r="E2" s="76"/>
      <c r="F2" s="80" t="s">
        <v>9</v>
      </c>
      <c r="G2" s="73" t="s">
        <v>24</v>
      </c>
      <c r="H2" s="73" t="s">
        <v>25</v>
      </c>
      <c r="I2" s="72" t="s">
        <v>26</v>
      </c>
      <c r="J2" s="72" t="s">
        <v>27</v>
      </c>
      <c r="K2" s="81" t="s">
        <v>28</v>
      </c>
      <c r="L2" s="57" t="s">
        <v>33</v>
      </c>
      <c r="M2" s="57" t="s">
        <v>34</v>
      </c>
      <c r="N2" s="58" t="s">
        <v>23</v>
      </c>
      <c r="O2" s="58" t="s">
        <v>29</v>
      </c>
      <c r="P2" s="83" t="s">
        <v>30</v>
      </c>
      <c r="Q2" s="52" t="s">
        <v>35</v>
      </c>
      <c r="R2" s="52" t="s">
        <v>31</v>
      </c>
      <c r="S2" s="56" t="s">
        <v>32</v>
      </c>
    </row>
    <row r="3" spans="1:19" ht="126" customHeight="1" thickBot="1">
      <c r="A3" s="58"/>
      <c r="B3" s="58"/>
      <c r="C3" s="58"/>
      <c r="D3" s="3" t="s">
        <v>8</v>
      </c>
      <c r="E3" s="4" t="s">
        <v>20</v>
      </c>
      <c r="F3" s="80"/>
      <c r="G3" s="73"/>
      <c r="H3" s="73"/>
      <c r="I3" s="72"/>
      <c r="J3" s="72"/>
      <c r="K3" s="82"/>
      <c r="L3" s="57"/>
      <c r="M3" s="57"/>
      <c r="N3" s="58"/>
      <c r="O3" s="58"/>
      <c r="P3" s="83"/>
      <c r="Q3" s="52"/>
      <c r="R3" s="52"/>
      <c r="S3" s="56"/>
    </row>
    <row r="4" spans="1:19" ht="21.75" customHeight="1" thickBot="1">
      <c r="A4" s="78">
        <v>1</v>
      </c>
      <c r="B4" s="74" t="s">
        <v>37</v>
      </c>
      <c r="C4" s="77" t="s">
        <v>10</v>
      </c>
      <c r="D4" s="1" t="s">
        <v>12</v>
      </c>
      <c r="E4" s="8">
        <v>1913.505</v>
      </c>
      <c r="F4" s="9">
        <v>5.377</v>
      </c>
      <c r="G4" s="9">
        <v>10288.92</v>
      </c>
      <c r="H4" s="10">
        <v>5748</v>
      </c>
      <c r="I4" s="10">
        <f>E4*F4</f>
        <v>10288.916385</v>
      </c>
      <c r="J4" s="10">
        <f>E4*3</f>
        <v>5740.515</v>
      </c>
      <c r="K4" s="10">
        <f aca="true" t="shared" si="0" ref="K4:K11">I4+J4</f>
        <v>16029.431385</v>
      </c>
      <c r="L4" s="10">
        <f aca="true" t="shared" si="1" ref="L4:M11">I4-G4</f>
        <v>-0.003614999999626889</v>
      </c>
      <c r="M4" s="10">
        <f t="shared" si="1"/>
        <v>-7.484999999999673</v>
      </c>
      <c r="N4" s="30"/>
      <c r="O4" s="30"/>
      <c r="P4" s="30"/>
      <c r="Q4" s="88"/>
      <c r="R4" s="89"/>
      <c r="S4" s="88"/>
    </row>
    <row r="5" spans="1:19" ht="18.75" customHeight="1" thickBot="1">
      <c r="A5" s="79"/>
      <c r="B5" s="59"/>
      <c r="C5" s="90"/>
      <c r="D5" s="1" t="s">
        <v>13</v>
      </c>
      <c r="E5" s="8">
        <f>1823+E4</f>
        <v>3736.505</v>
      </c>
      <c r="F5" s="9">
        <v>5.38</v>
      </c>
      <c r="G5" s="9">
        <f>9807.94+G4</f>
        <v>20096.86</v>
      </c>
      <c r="H5" s="10">
        <f>16407.65+H4</f>
        <v>22155.65</v>
      </c>
      <c r="I5" s="10">
        <f>9807.74+I4</f>
        <v>20096.656385000002</v>
      </c>
      <c r="J5" s="10">
        <f>16407+J4</f>
        <v>22147.515</v>
      </c>
      <c r="K5" s="10">
        <f t="shared" si="0"/>
        <v>42244.171385</v>
      </c>
      <c r="L5" s="10">
        <f t="shared" si="1"/>
        <v>-0.2036149999985355</v>
      </c>
      <c r="M5" s="10">
        <f t="shared" si="1"/>
        <v>-8.135000000002037</v>
      </c>
      <c r="N5" s="30"/>
      <c r="O5" s="30"/>
      <c r="P5" s="30"/>
      <c r="Q5" s="89"/>
      <c r="R5" s="89"/>
      <c r="S5" s="88"/>
    </row>
    <row r="6" spans="1:19" ht="19.5" customHeight="1" thickBot="1">
      <c r="A6" s="69"/>
      <c r="B6" s="75"/>
      <c r="C6" s="90"/>
      <c r="D6" s="1" t="s">
        <v>14</v>
      </c>
      <c r="E6" s="8">
        <f>1663.6+E5</f>
        <v>5400.105</v>
      </c>
      <c r="F6" s="9">
        <v>5.38</v>
      </c>
      <c r="G6" s="9">
        <f>8950.2+G5</f>
        <v>29047.06</v>
      </c>
      <c r="H6" s="10">
        <f>24953.83+H5</f>
        <v>47109.48</v>
      </c>
      <c r="I6" s="10">
        <f>8950.17+I5</f>
        <v>29046.826385</v>
      </c>
      <c r="J6" s="10">
        <f>24954+J5</f>
        <v>47101.515</v>
      </c>
      <c r="K6" s="10">
        <f t="shared" si="0"/>
        <v>76148.341385</v>
      </c>
      <c r="L6" s="10">
        <f t="shared" si="1"/>
        <v>-0.23361500000100932</v>
      </c>
      <c r="M6" s="10">
        <f t="shared" si="1"/>
        <v>-7.9650000000037835</v>
      </c>
      <c r="N6" s="30"/>
      <c r="O6" s="30"/>
      <c r="P6" s="30"/>
      <c r="Q6" s="89"/>
      <c r="R6" s="89"/>
      <c r="S6" s="88"/>
    </row>
    <row r="7" spans="1:19" ht="17.25" customHeight="1" thickBot="1">
      <c r="A7" s="69"/>
      <c r="B7" s="75"/>
      <c r="C7" s="90"/>
      <c r="D7" s="1" t="s">
        <v>15</v>
      </c>
      <c r="E7" s="8">
        <f>1753.83+E6</f>
        <v>7153.9349999999995</v>
      </c>
      <c r="F7" s="9">
        <v>5.38</v>
      </c>
      <c r="G7" s="9">
        <f>9435.56+G6</f>
        <v>38482.62</v>
      </c>
      <c r="H7" s="10">
        <f>38584.19+H6</f>
        <v>85693.67000000001</v>
      </c>
      <c r="I7" s="10">
        <f>9435.59+I6</f>
        <v>38482.416385000004</v>
      </c>
      <c r="J7" s="10">
        <f>38584.19+J6</f>
        <v>85685.705</v>
      </c>
      <c r="K7" s="10">
        <f t="shared" si="0"/>
        <v>124168.121385</v>
      </c>
      <c r="L7" s="10">
        <f t="shared" si="1"/>
        <v>-0.2036149999985355</v>
      </c>
      <c r="M7" s="10">
        <f t="shared" si="1"/>
        <v>-7.9650000000110595</v>
      </c>
      <c r="N7" s="30"/>
      <c r="O7" s="30"/>
      <c r="P7" s="30"/>
      <c r="Q7" s="89"/>
      <c r="R7" s="89"/>
      <c r="S7" s="88"/>
    </row>
    <row r="8" spans="1:19" ht="21" customHeight="1" thickBot="1">
      <c r="A8" s="69"/>
      <c r="B8" s="75"/>
      <c r="C8" s="90"/>
      <c r="D8" s="1" t="s">
        <v>16</v>
      </c>
      <c r="E8" s="8">
        <f>1721.288+E7</f>
        <v>8875.223</v>
      </c>
      <c r="F8" s="9">
        <v>5.38</v>
      </c>
      <c r="G8" s="9">
        <f>9260.53+G7</f>
        <v>47743.15</v>
      </c>
      <c r="H8" s="10">
        <f>48196.06+H7</f>
        <v>133889.73</v>
      </c>
      <c r="I8" s="10">
        <f>9260.53+I7</f>
        <v>47742.946385</v>
      </c>
      <c r="J8" s="10">
        <f>48196.06+J7</f>
        <v>133881.765</v>
      </c>
      <c r="K8" s="10">
        <f t="shared" si="0"/>
        <v>181624.71138500003</v>
      </c>
      <c r="L8" s="10">
        <f t="shared" si="1"/>
        <v>-0.2036149999985355</v>
      </c>
      <c r="M8" s="10">
        <f t="shared" si="1"/>
        <v>-7.9649999999965075</v>
      </c>
      <c r="N8" s="30"/>
      <c r="O8" s="30"/>
      <c r="P8" s="30"/>
      <c r="Q8" s="89"/>
      <c r="R8" s="89"/>
      <c r="S8" s="88"/>
    </row>
    <row r="9" spans="1:19" ht="61.5" customHeight="1" thickBot="1">
      <c r="A9" s="69"/>
      <c r="B9" s="75"/>
      <c r="C9" s="90"/>
      <c r="D9" s="1" t="s">
        <v>36</v>
      </c>
      <c r="E9" s="11">
        <f>2010.32+E8</f>
        <v>10885.543</v>
      </c>
      <c r="F9" s="10">
        <v>5.38</v>
      </c>
      <c r="G9" s="10">
        <f>10815.54+G8</f>
        <v>58558.69</v>
      </c>
      <c r="H9" s="10">
        <f>72371.52+H8</f>
        <v>206261.25</v>
      </c>
      <c r="I9" s="10">
        <f>10815.52+I8</f>
        <v>58558.46638500001</v>
      </c>
      <c r="J9" s="10">
        <f>72371.52+J8</f>
        <v>206253.28500000003</v>
      </c>
      <c r="K9" s="10">
        <f t="shared" si="0"/>
        <v>264811.75138500007</v>
      </c>
      <c r="L9" s="10">
        <f t="shared" si="1"/>
        <v>-0.22361499999533407</v>
      </c>
      <c r="M9" s="10">
        <f t="shared" si="1"/>
        <v>-7.964999999967404</v>
      </c>
      <c r="N9" s="31"/>
      <c r="O9" s="31"/>
      <c r="P9" s="5" t="s">
        <v>0</v>
      </c>
      <c r="Q9" s="89"/>
      <c r="R9" s="89"/>
      <c r="S9" s="88"/>
    </row>
    <row r="10" spans="1:19" ht="61.5" customHeight="1" thickBot="1">
      <c r="A10" s="69"/>
      <c r="B10" s="75"/>
      <c r="C10" s="90"/>
      <c r="D10" s="1" t="s">
        <v>59</v>
      </c>
      <c r="E10" s="11">
        <f>323.95+E9</f>
        <v>11209.493</v>
      </c>
      <c r="F10" s="10">
        <v>5.38</v>
      </c>
      <c r="G10" s="10">
        <f>1742.85+G9</f>
        <v>60301.54</v>
      </c>
      <c r="H10" s="10">
        <f>12958+H9</f>
        <v>219219.25</v>
      </c>
      <c r="I10" s="10">
        <f>1742.85+I9</f>
        <v>60301.316385000006</v>
      </c>
      <c r="J10" s="10">
        <f>12958+J9</f>
        <v>219211.28500000003</v>
      </c>
      <c r="K10" s="10">
        <f t="shared" si="0"/>
        <v>279512.60138500005</v>
      </c>
      <c r="L10" s="10">
        <f>I10-G10</f>
        <v>-0.22361499999533407</v>
      </c>
      <c r="M10" s="10">
        <f>J10-H10</f>
        <v>-7.964999999967404</v>
      </c>
      <c r="N10" s="31"/>
      <c r="O10" s="31"/>
      <c r="P10" s="5" t="s">
        <v>68</v>
      </c>
      <c r="Q10" s="89"/>
      <c r="R10" s="89"/>
      <c r="S10" s="88"/>
    </row>
    <row r="11" spans="1:19" ht="61.5" customHeight="1" thickBot="1">
      <c r="A11" s="91"/>
      <c r="B11" s="92"/>
      <c r="C11" s="93" t="s">
        <v>67</v>
      </c>
      <c r="D11" s="1" t="s">
        <v>59</v>
      </c>
      <c r="E11" s="11">
        <f>34.5</f>
        <v>34.5</v>
      </c>
      <c r="F11" s="10">
        <v>5.38</v>
      </c>
      <c r="G11" s="10">
        <v>185.61</v>
      </c>
      <c r="H11" s="10">
        <v>1380</v>
      </c>
      <c r="I11" s="10">
        <v>185.61</v>
      </c>
      <c r="J11" s="10">
        <v>1380</v>
      </c>
      <c r="K11" s="10">
        <f t="shared" si="0"/>
        <v>1565.6100000000001</v>
      </c>
      <c r="L11" s="10">
        <f t="shared" si="1"/>
        <v>0</v>
      </c>
      <c r="M11" s="10">
        <f t="shared" si="1"/>
        <v>0</v>
      </c>
      <c r="N11" s="31"/>
      <c r="O11" s="31"/>
      <c r="P11" s="5"/>
      <c r="Q11" s="89"/>
      <c r="R11" s="89"/>
      <c r="S11" s="88"/>
    </row>
    <row r="12" spans="1:19" ht="33" customHeight="1" thickBot="1">
      <c r="A12" s="32"/>
      <c r="B12" s="32"/>
      <c r="C12" s="6"/>
      <c r="D12" s="33"/>
      <c r="E12" s="29"/>
      <c r="F12" s="29"/>
      <c r="G12" s="29"/>
      <c r="H12" s="29"/>
      <c r="I12" s="29"/>
      <c r="J12" s="29"/>
      <c r="K12" s="29"/>
      <c r="L12" s="29"/>
      <c r="M12" s="29"/>
      <c r="N12" s="2"/>
      <c r="O12" s="2"/>
      <c r="P12" s="2"/>
      <c r="Q12" s="94"/>
      <c r="R12" s="94"/>
      <c r="S12" s="95"/>
    </row>
    <row r="13" spans="1:19" ht="13.5" thickBot="1">
      <c r="A13" s="68">
        <v>2</v>
      </c>
      <c r="B13" s="70" t="s">
        <v>47</v>
      </c>
      <c r="C13" s="34" t="s">
        <v>17</v>
      </c>
      <c r="D13" s="20" t="s">
        <v>12</v>
      </c>
      <c r="E13" s="11">
        <v>3044.334</v>
      </c>
      <c r="F13" s="10">
        <v>0</v>
      </c>
      <c r="G13" s="10">
        <v>0</v>
      </c>
      <c r="H13" s="10">
        <v>9133</v>
      </c>
      <c r="I13" s="10">
        <v>0</v>
      </c>
      <c r="J13" s="10">
        <v>9133</v>
      </c>
      <c r="K13" s="10">
        <f aca="true" t="shared" si="2" ref="K13:K34">SUM(I13:J13)</f>
        <v>9133</v>
      </c>
      <c r="L13" s="10">
        <f aca="true" t="shared" si="3" ref="L13:M22">I13-G13</f>
        <v>0</v>
      </c>
      <c r="M13" s="10">
        <f t="shared" si="3"/>
        <v>0</v>
      </c>
      <c r="N13" s="35"/>
      <c r="O13" s="35"/>
      <c r="P13" s="37"/>
      <c r="Q13" s="37"/>
      <c r="R13" s="37"/>
      <c r="S13" s="59" t="s">
        <v>58</v>
      </c>
    </row>
    <row r="14" spans="1:19" ht="13.5" thickBot="1">
      <c r="A14" s="69"/>
      <c r="B14" s="71"/>
      <c r="C14" s="34" t="s">
        <v>17</v>
      </c>
      <c r="D14" s="20" t="s">
        <v>13</v>
      </c>
      <c r="E14" s="11">
        <f>2991.017+E13</f>
        <v>6035.351</v>
      </c>
      <c r="F14" s="10">
        <v>0</v>
      </c>
      <c r="G14" s="10">
        <f>0+G13</f>
        <v>0</v>
      </c>
      <c r="H14" s="10">
        <f>26919.15+H13</f>
        <v>36052.15</v>
      </c>
      <c r="I14" s="10">
        <f>0+I13</f>
        <v>0</v>
      </c>
      <c r="J14" s="10">
        <f>26919.15+J13</f>
        <v>36052.15</v>
      </c>
      <c r="K14" s="10">
        <f t="shared" si="2"/>
        <v>36052.15</v>
      </c>
      <c r="L14" s="10">
        <f t="shared" si="3"/>
        <v>0</v>
      </c>
      <c r="M14" s="10">
        <f t="shared" si="3"/>
        <v>0</v>
      </c>
      <c r="N14" s="35"/>
      <c r="O14" s="35"/>
      <c r="P14" s="37"/>
      <c r="Q14" s="37"/>
      <c r="R14" s="37"/>
      <c r="S14" s="60"/>
    </row>
    <row r="15" spans="1:19" ht="13.5" customHeight="1" thickBot="1">
      <c r="A15" s="69"/>
      <c r="B15" s="71"/>
      <c r="C15" s="25" t="s">
        <v>17</v>
      </c>
      <c r="D15" s="1" t="s">
        <v>14</v>
      </c>
      <c r="E15" s="8">
        <f>2705.82+E14</f>
        <v>8741.171</v>
      </c>
      <c r="F15" s="9">
        <v>0</v>
      </c>
      <c r="G15" s="10">
        <f>0+G14</f>
        <v>0</v>
      </c>
      <c r="H15" s="10">
        <f>40587.33+H14</f>
        <v>76639.48000000001</v>
      </c>
      <c r="I15" s="10">
        <f>0+I14</f>
        <v>0</v>
      </c>
      <c r="J15" s="10">
        <f>40587.33+J14</f>
        <v>76639.48000000001</v>
      </c>
      <c r="K15" s="10">
        <f t="shared" si="2"/>
        <v>76639.48000000001</v>
      </c>
      <c r="L15" s="10">
        <f>I15-G15</f>
        <v>0</v>
      </c>
      <c r="M15" s="10">
        <f t="shared" si="3"/>
        <v>0</v>
      </c>
      <c r="N15" s="36"/>
      <c r="O15" s="37"/>
      <c r="P15" s="37"/>
      <c r="Q15" s="37"/>
      <c r="R15" s="37"/>
      <c r="S15" s="60"/>
    </row>
    <row r="16" spans="1:19" ht="13.5" thickBot="1">
      <c r="A16" s="69"/>
      <c r="B16" s="71"/>
      <c r="C16" s="25" t="s">
        <v>17</v>
      </c>
      <c r="D16" s="1" t="s">
        <v>15</v>
      </c>
      <c r="E16" s="8">
        <f>2502.36+E15</f>
        <v>11243.531</v>
      </c>
      <c r="F16" s="9">
        <v>0</v>
      </c>
      <c r="G16" s="10">
        <f>0+G15</f>
        <v>0</v>
      </c>
      <c r="H16" s="10">
        <f>55177.76+H15</f>
        <v>131817.24000000002</v>
      </c>
      <c r="I16" s="10">
        <f>0+I15</f>
        <v>0</v>
      </c>
      <c r="J16" s="10">
        <f>55051.92+J15</f>
        <v>131691.40000000002</v>
      </c>
      <c r="K16" s="10">
        <f t="shared" si="2"/>
        <v>131691.40000000002</v>
      </c>
      <c r="L16" s="10">
        <f>I16-G16</f>
        <v>0</v>
      </c>
      <c r="M16" s="10">
        <f t="shared" si="3"/>
        <v>-125.83999999999651</v>
      </c>
      <c r="N16" s="36"/>
      <c r="O16" s="36"/>
      <c r="P16" s="37"/>
      <c r="Q16" s="37"/>
      <c r="R16" s="37"/>
      <c r="S16" s="60"/>
    </row>
    <row r="17" spans="1:19" ht="41.25" customHeight="1" thickBot="1">
      <c r="A17" s="69"/>
      <c r="B17" s="71"/>
      <c r="C17" s="25" t="s">
        <v>17</v>
      </c>
      <c r="D17" s="1" t="s">
        <v>16</v>
      </c>
      <c r="E17" s="8">
        <f>2491.86+E16</f>
        <v>13735.391000000001</v>
      </c>
      <c r="F17" s="9">
        <v>6.29</v>
      </c>
      <c r="G17" s="10">
        <f>15674.64+G16</f>
        <v>15674.64</v>
      </c>
      <c r="H17" s="10">
        <f>69772.1+H16</f>
        <v>201589.34000000003</v>
      </c>
      <c r="I17" s="10">
        <f>15673.8+I16</f>
        <v>15673.8</v>
      </c>
      <c r="J17" s="10">
        <f>69772.08+J16</f>
        <v>201463.48000000004</v>
      </c>
      <c r="K17" s="10">
        <f t="shared" si="2"/>
        <v>217137.28000000003</v>
      </c>
      <c r="L17" s="10">
        <f t="shared" si="3"/>
        <v>-0.8400000000001455</v>
      </c>
      <c r="M17" s="10">
        <f t="shared" si="3"/>
        <v>-125.85999999998603</v>
      </c>
      <c r="N17" s="36"/>
      <c r="O17" s="36"/>
      <c r="P17" s="5" t="s">
        <v>50</v>
      </c>
      <c r="Q17" s="37"/>
      <c r="R17" s="37"/>
      <c r="S17" s="60"/>
    </row>
    <row r="18" spans="1:19" ht="37.5" customHeight="1" thickBot="1">
      <c r="A18" s="69"/>
      <c r="B18" s="71"/>
      <c r="C18" s="25" t="s">
        <v>17</v>
      </c>
      <c r="D18" s="1" t="s">
        <v>36</v>
      </c>
      <c r="E18" s="11">
        <f>2704.16+E17</f>
        <v>16439.551</v>
      </c>
      <c r="F18" s="10">
        <v>6.29</v>
      </c>
      <c r="G18" s="10">
        <f>17009.19+G17</f>
        <v>32683.829999999998</v>
      </c>
      <c r="H18" s="10">
        <f>97349.76+H17</f>
        <v>298939.10000000003</v>
      </c>
      <c r="I18" s="10">
        <f>17009.17+I17</f>
        <v>32682.969999999998</v>
      </c>
      <c r="J18" s="10">
        <f>97349.76+J17</f>
        <v>298813.24000000005</v>
      </c>
      <c r="K18" s="10">
        <f t="shared" si="2"/>
        <v>331496.21</v>
      </c>
      <c r="L18" s="10">
        <f t="shared" si="3"/>
        <v>-0.8600000000005821</v>
      </c>
      <c r="M18" s="10">
        <f t="shared" si="3"/>
        <v>-125.85999999998603</v>
      </c>
      <c r="N18" s="30"/>
      <c r="O18" s="30"/>
      <c r="P18" s="5" t="s">
        <v>51</v>
      </c>
      <c r="Q18" s="37"/>
      <c r="R18" s="37"/>
      <c r="S18" s="60"/>
    </row>
    <row r="19" spans="1:19" ht="37.5" customHeight="1" thickBot="1">
      <c r="A19" s="69"/>
      <c r="B19" s="71"/>
      <c r="C19" s="25" t="s">
        <v>17</v>
      </c>
      <c r="D19" s="1" t="s">
        <v>59</v>
      </c>
      <c r="E19" s="11">
        <f>568.94+E18</f>
        <v>17008.490999999998</v>
      </c>
      <c r="F19" s="10">
        <v>5.74</v>
      </c>
      <c r="G19" s="10">
        <f>3265.72+G18</f>
        <v>35949.549999999996</v>
      </c>
      <c r="H19" s="10">
        <f>22757.9+H18</f>
        <v>321697.00000000006</v>
      </c>
      <c r="I19" s="10">
        <f>3265.72+I18</f>
        <v>35948.689999999995</v>
      </c>
      <c r="J19" s="10">
        <f>22757.6+J18</f>
        <v>321570.84</v>
      </c>
      <c r="K19" s="10">
        <f t="shared" si="2"/>
        <v>357519.53</v>
      </c>
      <c r="L19" s="10">
        <f t="shared" si="3"/>
        <v>-0.8600000000005821</v>
      </c>
      <c r="M19" s="10">
        <f t="shared" si="3"/>
        <v>-126.1600000000326</v>
      </c>
      <c r="N19" s="30"/>
      <c r="O19" s="30"/>
      <c r="P19" s="51" t="s">
        <v>71</v>
      </c>
      <c r="Q19" s="37"/>
      <c r="R19" s="37"/>
      <c r="S19" s="60"/>
    </row>
    <row r="20" spans="1:19" ht="37.5" customHeight="1" thickBot="1">
      <c r="A20" s="69"/>
      <c r="B20" s="71"/>
      <c r="C20" s="25" t="s">
        <v>67</v>
      </c>
      <c r="D20" s="1" t="s">
        <v>59</v>
      </c>
      <c r="E20" s="11">
        <f>25.18</f>
        <v>25.18</v>
      </c>
      <c r="F20" s="10">
        <v>5.74</v>
      </c>
      <c r="G20" s="10">
        <f>144.42</f>
        <v>144.42</v>
      </c>
      <c r="H20" s="10">
        <f>1006.4</f>
        <v>1006.4</v>
      </c>
      <c r="I20" s="10">
        <f>144.53</f>
        <v>144.53</v>
      </c>
      <c r="J20" s="10">
        <f>1007.2</f>
        <v>1007.2</v>
      </c>
      <c r="K20" s="10">
        <f>SUM(I20:J20)</f>
        <v>1151.73</v>
      </c>
      <c r="L20" s="10">
        <f>I20-G20</f>
        <v>0.11000000000001364</v>
      </c>
      <c r="M20" s="10">
        <f>J20-H20</f>
        <v>0.8000000000000682</v>
      </c>
      <c r="N20" s="30"/>
      <c r="O20" s="30"/>
      <c r="P20" s="51"/>
      <c r="Q20" s="37"/>
      <c r="R20" s="37"/>
      <c r="S20" s="60"/>
    </row>
    <row r="21" spans="1:19" ht="13.5" thickBot="1">
      <c r="A21" s="69"/>
      <c r="B21" s="71"/>
      <c r="C21" s="34" t="s">
        <v>18</v>
      </c>
      <c r="D21" s="20" t="s">
        <v>12</v>
      </c>
      <c r="E21" s="11">
        <v>2902.929</v>
      </c>
      <c r="F21" s="10">
        <v>0</v>
      </c>
      <c r="G21" s="10">
        <v>0</v>
      </c>
      <c r="H21" s="10">
        <v>8708.79</v>
      </c>
      <c r="I21" s="10">
        <v>0</v>
      </c>
      <c r="J21" s="10">
        <v>8708.79</v>
      </c>
      <c r="K21" s="10">
        <f t="shared" si="2"/>
        <v>8708.79</v>
      </c>
      <c r="L21" s="10">
        <f t="shared" si="3"/>
        <v>0</v>
      </c>
      <c r="M21" s="10">
        <f t="shared" si="3"/>
        <v>0</v>
      </c>
      <c r="N21" s="30"/>
      <c r="O21" s="30"/>
      <c r="P21" s="37"/>
      <c r="Q21" s="37"/>
      <c r="R21" s="37"/>
      <c r="S21" s="60"/>
    </row>
    <row r="22" spans="1:19" ht="13.5" thickBot="1">
      <c r="A22" s="69"/>
      <c r="B22" s="71"/>
      <c r="C22" s="34" t="s">
        <v>18</v>
      </c>
      <c r="D22" s="20" t="s">
        <v>13</v>
      </c>
      <c r="E22" s="11">
        <f>2721.86+E21</f>
        <v>5624.789000000001</v>
      </c>
      <c r="F22" s="10">
        <v>0</v>
      </c>
      <c r="G22" s="10">
        <f>0+G21</f>
        <v>0</v>
      </c>
      <c r="H22" s="10">
        <f>24496.74+H21</f>
        <v>33205.53</v>
      </c>
      <c r="I22" s="10">
        <f>0+I21</f>
        <v>0</v>
      </c>
      <c r="J22" s="10">
        <f>24496.74+J21</f>
        <v>33205.53</v>
      </c>
      <c r="K22" s="10">
        <f t="shared" si="2"/>
        <v>33205.53</v>
      </c>
      <c r="L22" s="10">
        <f t="shared" si="3"/>
        <v>0</v>
      </c>
      <c r="M22" s="10">
        <f t="shared" si="3"/>
        <v>0</v>
      </c>
      <c r="N22" s="30"/>
      <c r="O22" s="30"/>
      <c r="P22" s="37"/>
      <c r="Q22" s="37"/>
      <c r="R22" s="37"/>
      <c r="S22" s="60"/>
    </row>
    <row r="23" spans="1:19" ht="13.5" thickBot="1">
      <c r="A23" s="69"/>
      <c r="B23" s="71"/>
      <c r="C23" s="25" t="s">
        <v>18</v>
      </c>
      <c r="D23" s="1" t="s">
        <v>14</v>
      </c>
      <c r="E23" s="8">
        <f>2578.28+E22</f>
        <v>8203.069000000001</v>
      </c>
      <c r="F23" s="9">
        <v>0</v>
      </c>
      <c r="G23" s="10">
        <f>0+G22</f>
        <v>0</v>
      </c>
      <c r="H23" s="10">
        <f>39094.5+H22</f>
        <v>72300.03</v>
      </c>
      <c r="I23" s="10">
        <f>0+I22</f>
        <v>0</v>
      </c>
      <c r="J23" s="10">
        <f>38674.2+J22</f>
        <v>71879.73</v>
      </c>
      <c r="K23" s="10">
        <f t="shared" si="2"/>
        <v>71879.73</v>
      </c>
      <c r="L23" s="10">
        <f aca="true" t="shared" si="4" ref="L23:L34">I23-G23</f>
        <v>0</v>
      </c>
      <c r="M23" s="10">
        <f aca="true" t="shared" si="5" ref="M23:M34">J23-H23</f>
        <v>-420.3000000000029</v>
      </c>
      <c r="N23" s="36"/>
      <c r="O23" s="36"/>
      <c r="P23" s="37"/>
      <c r="Q23" s="37"/>
      <c r="R23" s="37"/>
      <c r="S23" s="60"/>
    </row>
    <row r="24" spans="1:19" ht="13.5" thickBot="1">
      <c r="A24" s="69"/>
      <c r="B24" s="71"/>
      <c r="C24" s="25" t="s">
        <v>18</v>
      </c>
      <c r="D24" s="1" t="s">
        <v>15</v>
      </c>
      <c r="E24" s="8">
        <f>2607.22+E23</f>
        <v>10810.289</v>
      </c>
      <c r="F24" s="9">
        <v>0</v>
      </c>
      <c r="G24" s="10">
        <f>0+G23</f>
        <v>0</v>
      </c>
      <c r="H24" s="10">
        <f>57650.24+H23</f>
        <v>129950.26999999999</v>
      </c>
      <c r="I24" s="10">
        <f>0+I23</f>
        <v>0</v>
      </c>
      <c r="J24" s="10">
        <f>57358.84+J23</f>
        <v>129238.56999999999</v>
      </c>
      <c r="K24" s="10">
        <f t="shared" si="2"/>
        <v>129238.56999999999</v>
      </c>
      <c r="L24" s="10">
        <f t="shared" si="4"/>
        <v>0</v>
      </c>
      <c r="M24" s="10">
        <f t="shared" si="5"/>
        <v>-711.6999999999971</v>
      </c>
      <c r="N24" s="36"/>
      <c r="O24" s="36"/>
      <c r="P24" s="37"/>
      <c r="Q24" s="37"/>
      <c r="R24" s="37"/>
      <c r="S24" s="60"/>
    </row>
    <row r="25" spans="1:19" ht="33.75" customHeight="1" thickBot="1">
      <c r="A25" s="69"/>
      <c r="B25" s="71"/>
      <c r="C25" s="25" t="s">
        <v>18</v>
      </c>
      <c r="D25" s="1" t="s">
        <v>16</v>
      </c>
      <c r="E25" s="8">
        <f>2276.08+E24</f>
        <v>13086.369</v>
      </c>
      <c r="F25" s="9">
        <v>6.29</v>
      </c>
      <c r="G25" s="10">
        <f>14315.41+G24</f>
        <v>14315.41</v>
      </c>
      <c r="H25" s="10">
        <f>63729.12+H24</f>
        <v>193679.38999999998</v>
      </c>
      <c r="I25" s="10">
        <f>14316.54+I24</f>
        <v>14316.54</v>
      </c>
      <c r="J25" s="10">
        <f>63730.24+J24</f>
        <v>192968.81</v>
      </c>
      <c r="K25" s="10">
        <f t="shared" si="2"/>
        <v>207285.35</v>
      </c>
      <c r="L25" s="10">
        <f t="shared" si="4"/>
        <v>1.1300000000010186</v>
      </c>
      <c r="M25" s="10">
        <f t="shared" si="5"/>
        <v>-710.5799999999872</v>
      </c>
      <c r="N25" s="36"/>
      <c r="O25" s="37"/>
      <c r="P25" s="25" t="s">
        <v>52</v>
      </c>
      <c r="Q25" s="37"/>
      <c r="R25" s="37"/>
      <c r="S25" s="60"/>
    </row>
    <row r="26" spans="1:19" ht="57.75" customHeight="1" thickBot="1">
      <c r="A26" s="69"/>
      <c r="B26" s="71"/>
      <c r="C26" s="25" t="s">
        <v>18</v>
      </c>
      <c r="D26" s="1" t="s">
        <v>36</v>
      </c>
      <c r="E26" s="11">
        <f>2071.72+E25</f>
        <v>15158.089</v>
      </c>
      <c r="F26" s="10">
        <v>6.29</v>
      </c>
      <c r="G26" s="10">
        <f>13031.33+G25</f>
        <v>27346.739999999998</v>
      </c>
      <c r="H26" s="10">
        <f>74581.7+H25</f>
        <v>268261.08999999997</v>
      </c>
      <c r="I26" s="10">
        <f>13031.12+I25</f>
        <v>27347.660000000003</v>
      </c>
      <c r="J26" s="10">
        <f>74581.92+J25</f>
        <v>267550.73</v>
      </c>
      <c r="K26" s="10">
        <f t="shared" si="2"/>
        <v>294898.39</v>
      </c>
      <c r="L26" s="10">
        <f t="shared" si="4"/>
        <v>0.9200000000055297</v>
      </c>
      <c r="M26" s="10">
        <f t="shared" si="5"/>
        <v>-710.359999999986</v>
      </c>
      <c r="N26" s="30"/>
      <c r="O26" s="30"/>
      <c r="P26" s="23" t="s">
        <v>1</v>
      </c>
      <c r="Q26" s="37"/>
      <c r="R26" s="37"/>
      <c r="S26" s="60"/>
    </row>
    <row r="27" spans="1:19" ht="57.75" customHeight="1" thickBot="1">
      <c r="A27" s="69"/>
      <c r="B27" s="71"/>
      <c r="C27" s="25" t="s">
        <v>18</v>
      </c>
      <c r="D27" s="1" t="s">
        <v>59</v>
      </c>
      <c r="E27" s="11">
        <f>434.4+E26</f>
        <v>15592.489</v>
      </c>
      <c r="F27" s="10">
        <v>5.74</v>
      </c>
      <c r="G27" s="10">
        <f>2493.45+G26</f>
        <v>29840.19</v>
      </c>
      <c r="H27" s="10">
        <f>17376+H26</f>
        <v>285637.08999999997</v>
      </c>
      <c r="I27" s="10">
        <f>2493.46+I26</f>
        <v>29841.120000000003</v>
      </c>
      <c r="J27" s="10">
        <f>17376+J26</f>
        <v>284926.73</v>
      </c>
      <c r="K27" s="10">
        <f t="shared" si="2"/>
        <v>314767.85</v>
      </c>
      <c r="L27" s="10">
        <f t="shared" si="4"/>
        <v>0.930000000003929</v>
      </c>
      <c r="M27" s="10">
        <f t="shared" si="5"/>
        <v>-710.359999999986</v>
      </c>
      <c r="N27" s="30"/>
      <c r="O27" s="30"/>
      <c r="P27" s="50"/>
      <c r="Q27" s="37"/>
      <c r="R27" s="37"/>
      <c r="S27" s="60"/>
    </row>
    <row r="28" spans="1:19" ht="13.5" thickBot="1">
      <c r="A28" s="69"/>
      <c r="B28" s="71"/>
      <c r="C28" s="34" t="s">
        <v>19</v>
      </c>
      <c r="D28" s="20" t="s">
        <v>12</v>
      </c>
      <c r="E28" s="11">
        <v>1345.65</v>
      </c>
      <c r="F28" s="10">
        <v>0</v>
      </c>
      <c r="G28" s="10">
        <v>0</v>
      </c>
      <c r="H28" s="10">
        <v>4036.95</v>
      </c>
      <c r="I28" s="10">
        <v>0</v>
      </c>
      <c r="J28" s="10">
        <v>4036.95</v>
      </c>
      <c r="K28" s="10">
        <f t="shared" si="2"/>
        <v>4036.95</v>
      </c>
      <c r="L28" s="10">
        <f t="shared" si="4"/>
        <v>0</v>
      </c>
      <c r="M28" s="10">
        <f t="shared" si="5"/>
        <v>0</v>
      </c>
      <c r="N28" s="38"/>
      <c r="O28" s="30"/>
      <c r="P28" s="37"/>
      <c r="Q28" s="37"/>
      <c r="R28" s="37"/>
      <c r="S28" s="60"/>
    </row>
    <row r="29" spans="1:19" ht="13.5" thickBot="1">
      <c r="A29" s="69"/>
      <c r="B29" s="71"/>
      <c r="C29" s="34" t="s">
        <v>19</v>
      </c>
      <c r="D29" s="20" t="s">
        <v>13</v>
      </c>
      <c r="E29" s="11">
        <f>1196.37+E28</f>
        <v>2542.02</v>
      </c>
      <c r="F29" s="10">
        <v>0</v>
      </c>
      <c r="G29" s="10">
        <f>0+G28</f>
        <v>0</v>
      </c>
      <c r="H29" s="10">
        <f>10767.33+H28</f>
        <v>14804.279999999999</v>
      </c>
      <c r="I29" s="10">
        <f>0+I28</f>
        <v>0</v>
      </c>
      <c r="J29" s="10">
        <f>10767.33+J28</f>
        <v>14804.279999999999</v>
      </c>
      <c r="K29" s="10">
        <f t="shared" si="2"/>
        <v>14804.279999999999</v>
      </c>
      <c r="L29" s="10">
        <f t="shared" si="4"/>
        <v>0</v>
      </c>
      <c r="M29" s="10">
        <f t="shared" si="5"/>
        <v>0</v>
      </c>
      <c r="N29" s="30"/>
      <c r="O29" s="30"/>
      <c r="P29" s="37"/>
      <c r="Q29" s="37"/>
      <c r="R29" s="37"/>
      <c r="S29" s="60"/>
    </row>
    <row r="30" spans="1:19" ht="13.5" thickBot="1">
      <c r="A30" s="69"/>
      <c r="B30" s="71"/>
      <c r="C30" s="25" t="s">
        <v>19</v>
      </c>
      <c r="D30" s="1" t="s">
        <v>14</v>
      </c>
      <c r="E30" s="11">
        <f>1085.42+E29</f>
        <v>3627.44</v>
      </c>
      <c r="F30" s="9">
        <v>0</v>
      </c>
      <c r="G30" s="10">
        <f>0+G29</f>
        <v>0</v>
      </c>
      <c r="H30" s="10">
        <f>16281.3+H29</f>
        <v>31085.579999999998</v>
      </c>
      <c r="I30" s="10">
        <f>0+I29</f>
        <v>0</v>
      </c>
      <c r="J30" s="10">
        <f>16281.3+J29</f>
        <v>31085.579999999998</v>
      </c>
      <c r="K30" s="10">
        <f t="shared" si="2"/>
        <v>31085.579999999998</v>
      </c>
      <c r="L30" s="10">
        <f t="shared" si="4"/>
        <v>0</v>
      </c>
      <c r="M30" s="10">
        <f t="shared" si="5"/>
        <v>0</v>
      </c>
      <c r="N30" s="36"/>
      <c r="O30" s="36"/>
      <c r="P30" s="37"/>
      <c r="Q30" s="37"/>
      <c r="R30" s="37"/>
      <c r="S30" s="60"/>
    </row>
    <row r="31" spans="1:19" ht="13.5" thickBot="1">
      <c r="A31" s="69"/>
      <c r="B31" s="71"/>
      <c r="C31" s="25" t="s">
        <v>19</v>
      </c>
      <c r="D31" s="1" t="s">
        <v>15</v>
      </c>
      <c r="E31" s="11">
        <f>1060.94+E30</f>
        <v>4688.38</v>
      </c>
      <c r="F31" s="9">
        <v>0</v>
      </c>
      <c r="G31" s="10">
        <f>0+G30</f>
        <v>0</v>
      </c>
      <c r="H31" s="10">
        <f>23340.68+H30</f>
        <v>54426.259999999995</v>
      </c>
      <c r="I31" s="10">
        <f>0+I30</f>
        <v>0</v>
      </c>
      <c r="J31" s="10">
        <f>23340.68+J30</f>
        <v>54426.259999999995</v>
      </c>
      <c r="K31" s="10">
        <f t="shared" si="2"/>
        <v>54426.259999999995</v>
      </c>
      <c r="L31" s="10">
        <f t="shared" si="4"/>
        <v>0</v>
      </c>
      <c r="M31" s="10">
        <f t="shared" si="5"/>
        <v>0</v>
      </c>
      <c r="N31" s="36">
        <f>663.82+690.51</f>
        <v>1354.33</v>
      </c>
      <c r="O31" s="65">
        <v>9042.31</v>
      </c>
      <c r="P31" s="37"/>
      <c r="Q31" s="37"/>
      <c r="R31" s="37"/>
      <c r="S31" s="60"/>
    </row>
    <row r="32" spans="1:19" ht="13.5" thickBot="1">
      <c r="A32" s="69"/>
      <c r="B32" s="71"/>
      <c r="C32" s="25" t="s">
        <v>19</v>
      </c>
      <c r="D32" s="1" t="s">
        <v>16</v>
      </c>
      <c r="E32" s="11">
        <f>932.58+E31</f>
        <v>5620.96</v>
      </c>
      <c r="F32" s="9">
        <v>6.29</v>
      </c>
      <c r="G32" s="10">
        <f>5865.93+G31</f>
        <v>5865.93</v>
      </c>
      <c r="H32" s="10">
        <f>26112.24+H31</f>
        <v>80538.5</v>
      </c>
      <c r="I32" s="10">
        <f>5865.93+I31</f>
        <v>5865.93</v>
      </c>
      <c r="J32" s="10">
        <f>26112.24+J31</f>
        <v>80538.5</v>
      </c>
      <c r="K32" s="10">
        <f t="shared" si="2"/>
        <v>86404.43</v>
      </c>
      <c r="L32" s="10">
        <f t="shared" si="4"/>
        <v>0</v>
      </c>
      <c r="M32" s="10">
        <f t="shared" si="5"/>
        <v>0</v>
      </c>
      <c r="N32" s="36">
        <f>105.19+1312.18</f>
        <v>1417.3700000000001</v>
      </c>
      <c r="O32" s="66"/>
      <c r="P32" s="37"/>
      <c r="Q32" s="37"/>
      <c r="R32" s="37"/>
      <c r="S32" s="60"/>
    </row>
    <row r="33" spans="1:19" ht="34.5" customHeight="1" thickBot="1">
      <c r="A33" s="69"/>
      <c r="B33" s="71"/>
      <c r="C33" s="25" t="s">
        <v>19</v>
      </c>
      <c r="D33" s="1" t="s">
        <v>36</v>
      </c>
      <c r="E33" s="11">
        <f>996.18+E32</f>
        <v>6617.14</v>
      </c>
      <c r="F33" s="10">
        <v>6.29</v>
      </c>
      <c r="G33" s="10">
        <f>6265.97+G32</f>
        <v>12131.900000000001</v>
      </c>
      <c r="H33" s="10">
        <f>35862.48+H32</f>
        <v>116400.98000000001</v>
      </c>
      <c r="I33" s="10">
        <f>6265.97+I32</f>
        <v>12131.900000000001</v>
      </c>
      <c r="J33" s="10">
        <f>35862.48+J32</f>
        <v>116400.98000000001</v>
      </c>
      <c r="K33" s="10">
        <f t="shared" si="2"/>
        <v>128532.88</v>
      </c>
      <c r="L33" s="10">
        <f t="shared" si="4"/>
        <v>0</v>
      </c>
      <c r="M33" s="10">
        <f t="shared" si="5"/>
        <v>0</v>
      </c>
      <c r="N33" s="36">
        <f>144.32</f>
        <v>144.32</v>
      </c>
      <c r="O33" s="67"/>
      <c r="P33" s="25" t="s">
        <v>3</v>
      </c>
      <c r="Q33" s="89"/>
      <c r="R33" s="89"/>
      <c r="S33" s="61"/>
    </row>
    <row r="34" spans="1:19" ht="34.5" customHeight="1" thickBot="1">
      <c r="A34" s="91"/>
      <c r="B34" s="96"/>
      <c r="C34" s="25" t="s">
        <v>19</v>
      </c>
      <c r="D34" s="1" t="s">
        <v>59</v>
      </c>
      <c r="E34" s="11">
        <f>233.12+E33</f>
        <v>6850.26</v>
      </c>
      <c r="F34" s="10">
        <v>5.74</v>
      </c>
      <c r="G34" s="10">
        <f>1338.11+G33</f>
        <v>13470.010000000002</v>
      </c>
      <c r="H34" s="10">
        <f>9324.8+H33</f>
        <v>125725.78000000001</v>
      </c>
      <c r="I34" s="10">
        <f>1338.11+I33</f>
        <v>13470.010000000002</v>
      </c>
      <c r="J34" s="10">
        <f>9324.8+J33</f>
        <v>125725.78000000001</v>
      </c>
      <c r="K34" s="10">
        <f t="shared" si="2"/>
        <v>139195.79</v>
      </c>
      <c r="L34" s="10">
        <f t="shared" si="4"/>
        <v>0</v>
      </c>
      <c r="M34" s="10">
        <f t="shared" si="5"/>
        <v>0</v>
      </c>
      <c r="N34" s="36"/>
      <c r="O34" s="46"/>
      <c r="P34" s="25" t="s">
        <v>65</v>
      </c>
      <c r="Q34" s="89"/>
      <c r="R34" s="89"/>
      <c r="S34" s="47"/>
    </row>
    <row r="35" spans="1:19" ht="24" customHeight="1" thickBot="1">
      <c r="A35" s="32"/>
      <c r="B35" s="32"/>
      <c r="C35" s="6"/>
      <c r="D35" s="33"/>
      <c r="E35" s="29"/>
      <c r="F35" s="29"/>
      <c r="G35" s="29"/>
      <c r="H35" s="29"/>
      <c r="I35" s="29"/>
      <c r="J35" s="29"/>
      <c r="K35" s="29"/>
      <c r="L35" s="29"/>
      <c r="M35" s="29"/>
      <c r="N35" s="2"/>
      <c r="O35" s="2"/>
      <c r="P35" s="2"/>
      <c r="Q35" s="94"/>
      <c r="R35" s="94"/>
      <c r="S35" s="95"/>
    </row>
    <row r="36" spans="1:19" ht="13.5" thickBot="1">
      <c r="A36" s="84">
        <v>3</v>
      </c>
      <c r="B36" s="71" t="s">
        <v>48</v>
      </c>
      <c r="C36" s="22" t="s">
        <v>38</v>
      </c>
      <c r="D36" s="20" t="s">
        <v>12</v>
      </c>
      <c r="E36" s="11">
        <v>31012.05</v>
      </c>
      <c r="F36" s="10">
        <v>3.12</v>
      </c>
      <c r="G36" s="10">
        <v>96757.6</v>
      </c>
      <c r="H36" s="10">
        <v>93036.15</v>
      </c>
      <c r="I36" s="10">
        <v>96757.6</v>
      </c>
      <c r="J36" s="10">
        <v>93036.15</v>
      </c>
      <c r="K36" s="10">
        <f aca="true" t="shared" si="6" ref="K36:K43">SUM(I36:J36)</f>
        <v>189793.75</v>
      </c>
      <c r="L36" s="10">
        <f aca="true" t="shared" si="7" ref="L36:M40">I36-G36</f>
        <v>0</v>
      </c>
      <c r="M36" s="10">
        <f t="shared" si="7"/>
        <v>0</v>
      </c>
      <c r="N36" s="35"/>
      <c r="O36" s="35"/>
      <c r="P36" s="37"/>
      <c r="Q36" s="37"/>
      <c r="R36" s="37"/>
      <c r="S36" s="59" t="s">
        <v>66</v>
      </c>
    </row>
    <row r="37" spans="1:19" ht="13.5" thickBot="1">
      <c r="A37" s="84"/>
      <c r="B37" s="71"/>
      <c r="C37" s="22" t="s">
        <v>38</v>
      </c>
      <c r="D37" s="20" t="s">
        <v>13</v>
      </c>
      <c r="E37" s="11">
        <f>22645.91+E36</f>
        <v>53657.96</v>
      </c>
      <c r="F37" s="10">
        <v>3.123</v>
      </c>
      <c r="G37" s="10">
        <f>70657.52+G36</f>
        <v>167415.12</v>
      </c>
      <c r="H37" s="10">
        <f>203820.93+H36</f>
        <v>296857.07999999996</v>
      </c>
      <c r="I37" s="10">
        <f>70655.24+I36</f>
        <v>167412.84000000003</v>
      </c>
      <c r="J37" s="10">
        <f>203813.19+J36</f>
        <v>296849.33999999997</v>
      </c>
      <c r="K37" s="10">
        <f t="shared" si="6"/>
        <v>464262.18</v>
      </c>
      <c r="L37" s="10">
        <f t="shared" si="7"/>
        <v>-2.279999999969732</v>
      </c>
      <c r="M37" s="10">
        <f t="shared" si="7"/>
        <v>-7.739999999990687</v>
      </c>
      <c r="N37" s="35"/>
      <c r="O37" s="35"/>
      <c r="P37" s="37"/>
      <c r="Q37" s="37"/>
      <c r="R37" s="37"/>
      <c r="S37" s="60"/>
    </row>
    <row r="38" spans="1:19" ht="13.5" thickBot="1">
      <c r="A38" s="84"/>
      <c r="B38" s="71"/>
      <c r="C38" s="22" t="s">
        <v>38</v>
      </c>
      <c r="D38" s="20" t="s">
        <v>14</v>
      </c>
      <c r="E38" s="8">
        <f>17531.79+E37</f>
        <v>71189.75</v>
      </c>
      <c r="F38" s="9">
        <v>3.12</v>
      </c>
      <c r="G38" s="10">
        <f>54698.63+G37</f>
        <v>222113.75</v>
      </c>
      <c r="H38" s="10">
        <f>262974.75+H37</f>
        <v>559831.83</v>
      </c>
      <c r="I38" s="10">
        <f>54699.18+I37</f>
        <v>222112.02000000002</v>
      </c>
      <c r="J38" s="10">
        <f>262976.85+J37</f>
        <v>559826.19</v>
      </c>
      <c r="K38" s="10">
        <f t="shared" si="6"/>
        <v>781938.21</v>
      </c>
      <c r="L38" s="10">
        <f t="shared" si="7"/>
        <v>-1.7299999999813735</v>
      </c>
      <c r="M38" s="10">
        <f t="shared" si="7"/>
        <v>-5.64000000001397</v>
      </c>
      <c r="N38" s="36"/>
      <c r="O38" s="36"/>
      <c r="P38" s="37"/>
      <c r="Q38" s="37"/>
      <c r="R38" s="37"/>
      <c r="S38" s="60"/>
    </row>
    <row r="39" spans="1:19" ht="13.5" thickBot="1">
      <c r="A39" s="84"/>
      <c r="B39" s="71"/>
      <c r="C39" s="7" t="s">
        <v>38</v>
      </c>
      <c r="D39" s="1" t="s">
        <v>15</v>
      </c>
      <c r="E39" s="8">
        <f>18570+E38</f>
        <v>89759.75</v>
      </c>
      <c r="F39" s="9">
        <v>3.12</v>
      </c>
      <c r="G39" s="9">
        <f>57940.29+G38</f>
        <v>280054.04</v>
      </c>
      <c r="H39" s="10">
        <f>408544.18+H38</f>
        <v>968376.01</v>
      </c>
      <c r="I39" s="10">
        <f>57938.99+I38</f>
        <v>280051.01</v>
      </c>
      <c r="J39" s="10">
        <f>408544.18+J38</f>
        <v>968370.3699999999</v>
      </c>
      <c r="K39" s="10">
        <f t="shared" si="6"/>
        <v>1248421.38</v>
      </c>
      <c r="L39" s="10">
        <f t="shared" si="7"/>
        <v>-3.029999999969732</v>
      </c>
      <c r="M39" s="10">
        <f t="shared" si="7"/>
        <v>-5.640000000130385</v>
      </c>
      <c r="N39" s="36"/>
      <c r="O39" s="36"/>
      <c r="P39" s="37"/>
      <c r="Q39" s="37"/>
      <c r="R39" s="37"/>
      <c r="S39" s="60"/>
    </row>
    <row r="40" spans="1:19" ht="13.5" thickBot="1">
      <c r="A40" s="84"/>
      <c r="B40" s="71"/>
      <c r="C40" s="7" t="s">
        <v>38</v>
      </c>
      <c r="D40" s="1" t="s">
        <v>16</v>
      </c>
      <c r="E40" s="8">
        <f>17742.91+E39</f>
        <v>107502.66</v>
      </c>
      <c r="F40" s="9">
        <v>3.12</v>
      </c>
      <c r="G40" s="9">
        <f>55357.89+G39</f>
        <v>335411.93</v>
      </c>
      <c r="H40" s="10">
        <f>496801.48+H39</f>
        <v>1465177.49</v>
      </c>
      <c r="I40" s="10">
        <f>55357.88+I39</f>
        <v>335408.89</v>
      </c>
      <c r="J40" s="10">
        <f>496801.48+J39</f>
        <v>1465171.8499999999</v>
      </c>
      <c r="K40" s="10">
        <f t="shared" si="6"/>
        <v>1800580.7399999998</v>
      </c>
      <c r="L40" s="10">
        <f t="shared" si="7"/>
        <v>-3.0399999999790452</v>
      </c>
      <c r="M40" s="10">
        <f t="shared" si="7"/>
        <v>-5.640000000130385</v>
      </c>
      <c r="N40" s="36"/>
      <c r="O40" s="36"/>
      <c r="P40" s="34"/>
      <c r="Q40" s="37"/>
      <c r="R40" s="37"/>
      <c r="S40" s="60"/>
    </row>
    <row r="41" spans="1:19" ht="46.5" customHeight="1" thickBot="1">
      <c r="A41" s="84"/>
      <c r="B41" s="71"/>
      <c r="C41" s="7" t="s">
        <v>38</v>
      </c>
      <c r="D41" s="1" t="s">
        <v>36</v>
      </c>
      <c r="E41" s="11">
        <f>15081.37+E40</f>
        <v>122584.03</v>
      </c>
      <c r="F41" s="10">
        <v>3.12</v>
      </c>
      <c r="G41" s="10">
        <f>47095.44+G40</f>
        <v>382507.37</v>
      </c>
      <c r="H41" s="10">
        <f>543408.84+H40</f>
        <v>2008586.33</v>
      </c>
      <c r="I41" s="10">
        <f>47053.87+I40</f>
        <v>382462.76</v>
      </c>
      <c r="J41" s="10">
        <f>542929.32+J40</f>
        <v>2008101.17</v>
      </c>
      <c r="K41" s="10">
        <f t="shared" si="6"/>
        <v>2390563.9299999997</v>
      </c>
      <c r="L41" s="10">
        <f aca="true" t="shared" si="8" ref="L41:L58">I41-G41</f>
        <v>-44.60999999998603</v>
      </c>
      <c r="M41" s="10">
        <f aca="true" t="shared" si="9" ref="M41:M58">J41-H41</f>
        <v>-485.160000000149</v>
      </c>
      <c r="N41" s="30"/>
      <c r="O41" s="30"/>
      <c r="P41" s="26" t="s">
        <v>2</v>
      </c>
      <c r="Q41" s="37"/>
      <c r="R41" s="37"/>
      <c r="S41" s="60"/>
    </row>
    <row r="42" spans="1:19" ht="46.5" customHeight="1" thickBot="1">
      <c r="A42" s="84"/>
      <c r="B42" s="71"/>
      <c r="C42" s="7" t="s">
        <v>38</v>
      </c>
      <c r="D42" s="20" t="s">
        <v>59</v>
      </c>
      <c r="E42" s="11">
        <f>1305.7+E41</f>
        <v>123889.73</v>
      </c>
      <c r="F42" s="10">
        <v>1.9</v>
      </c>
      <c r="G42" s="10">
        <f>1292.36+G41</f>
        <v>383799.73</v>
      </c>
      <c r="H42" s="10">
        <f>27207.6+H41</f>
        <v>2035793.9300000002</v>
      </c>
      <c r="I42" s="10">
        <f>2480.83+I41</f>
        <v>384943.59</v>
      </c>
      <c r="J42" s="10">
        <f>52228+J41</f>
        <v>2060329.17</v>
      </c>
      <c r="K42" s="10">
        <f t="shared" si="6"/>
        <v>2445272.76</v>
      </c>
      <c r="L42" s="10">
        <f>I42-G42</f>
        <v>1143.8600000000442</v>
      </c>
      <c r="M42" s="10">
        <f t="shared" si="9"/>
        <v>24535.239999999758</v>
      </c>
      <c r="N42" s="30"/>
      <c r="O42" s="30"/>
      <c r="P42" s="26"/>
      <c r="Q42" s="37"/>
      <c r="R42" s="37"/>
      <c r="S42" s="60"/>
    </row>
    <row r="43" spans="1:19" ht="46.5" customHeight="1" thickBot="1">
      <c r="A43" s="84"/>
      <c r="B43" s="71"/>
      <c r="C43" s="25" t="s">
        <v>67</v>
      </c>
      <c r="D43" s="20" t="s">
        <v>59</v>
      </c>
      <c r="E43" s="11">
        <f>452.22</f>
        <v>452.22</v>
      </c>
      <c r="F43" s="10">
        <v>1.9</v>
      </c>
      <c r="G43" s="10">
        <f>172.12</f>
        <v>172.12</v>
      </c>
      <c r="H43" s="10">
        <f>9963.68</f>
        <v>9963.68</v>
      </c>
      <c r="I43" s="10">
        <f>859.22</f>
        <v>859.22</v>
      </c>
      <c r="J43" s="10">
        <f>18088.8</f>
        <v>18088.8</v>
      </c>
      <c r="K43" s="10">
        <f t="shared" si="6"/>
        <v>18948.02</v>
      </c>
      <c r="L43" s="10">
        <f>I43-G43</f>
        <v>687.1</v>
      </c>
      <c r="M43" s="10">
        <f t="shared" si="9"/>
        <v>8125.119999999999</v>
      </c>
      <c r="N43" s="30"/>
      <c r="O43" s="30"/>
      <c r="P43" s="26"/>
      <c r="Q43" s="37"/>
      <c r="R43" s="37"/>
      <c r="S43" s="60"/>
    </row>
    <row r="44" spans="1:19" ht="13.5" thickBot="1">
      <c r="A44" s="84"/>
      <c r="B44" s="71"/>
      <c r="C44" s="22" t="s">
        <v>39</v>
      </c>
      <c r="D44" s="20" t="s">
        <v>12</v>
      </c>
      <c r="E44" s="11">
        <v>846.61</v>
      </c>
      <c r="F44" s="10">
        <v>3.12</v>
      </c>
      <c r="G44" s="10">
        <v>2641.42</v>
      </c>
      <c r="H44" s="10">
        <v>2539.83</v>
      </c>
      <c r="I44" s="10">
        <v>2641.42</v>
      </c>
      <c r="J44" s="10">
        <v>2539.83</v>
      </c>
      <c r="K44" s="10">
        <f aca="true" t="shared" si="10" ref="K44:K50">SUM(I44:J44)</f>
        <v>5181.25</v>
      </c>
      <c r="L44" s="10">
        <f t="shared" si="8"/>
        <v>0</v>
      </c>
      <c r="M44" s="10">
        <f t="shared" si="9"/>
        <v>0</v>
      </c>
      <c r="N44" s="30"/>
      <c r="O44" s="30"/>
      <c r="P44" s="37"/>
      <c r="Q44" s="37"/>
      <c r="R44" s="37"/>
      <c r="S44" s="60"/>
    </row>
    <row r="45" spans="1:19" ht="13.5" thickBot="1">
      <c r="A45" s="84"/>
      <c r="B45" s="71"/>
      <c r="C45" s="22" t="s">
        <v>39</v>
      </c>
      <c r="D45" s="20" t="s">
        <v>13</v>
      </c>
      <c r="E45" s="11">
        <f>769.59+E44</f>
        <v>1616.2</v>
      </c>
      <c r="F45" s="10">
        <v>3.123</v>
      </c>
      <c r="G45" s="10">
        <f>2401.12+G44</f>
        <v>5042.54</v>
      </c>
      <c r="H45" s="10">
        <f>6926.31+H44</f>
        <v>9466.14</v>
      </c>
      <c r="I45" s="10">
        <f>2401.12+I44</f>
        <v>5042.54</v>
      </c>
      <c r="J45" s="10">
        <f>6926.31+J44</f>
        <v>9466.14</v>
      </c>
      <c r="K45" s="10">
        <f t="shared" si="10"/>
        <v>14508.68</v>
      </c>
      <c r="L45" s="10">
        <f t="shared" si="8"/>
        <v>0</v>
      </c>
      <c r="M45" s="10">
        <f t="shared" si="9"/>
        <v>0</v>
      </c>
      <c r="N45" s="30"/>
      <c r="O45" s="30"/>
      <c r="P45" s="37"/>
      <c r="Q45" s="37"/>
      <c r="R45" s="37"/>
      <c r="S45" s="60"/>
    </row>
    <row r="46" spans="1:19" ht="13.5" thickBot="1">
      <c r="A46" s="84"/>
      <c r="B46" s="71"/>
      <c r="C46" s="22" t="s">
        <v>39</v>
      </c>
      <c r="D46" s="20" t="s">
        <v>14</v>
      </c>
      <c r="E46" s="11">
        <f>624.06+E45</f>
        <v>2240.26</v>
      </c>
      <c r="F46" s="9">
        <v>3.12</v>
      </c>
      <c r="G46" s="10">
        <f>1947.07+G45</f>
        <v>6989.61</v>
      </c>
      <c r="H46" s="10">
        <f>9360.9+H45</f>
        <v>18827.04</v>
      </c>
      <c r="I46" s="10">
        <f>1947.07+I45</f>
        <v>6989.61</v>
      </c>
      <c r="J46" s="10">
        <f>9360.9+J45</f>
        <v>18827.04</v>
      </c>
      <c r="K46" s="10">
        <f t="shared" si="10"/>
        <v>25816.65</v>
      </c>
      <c r="L46" s="10">
        <f t="shared" si="8"/>
        <v>0</v>
      </c>
      <c r="M46" s="10">
        <f t="shared" si="9"/>
        <v>0</v>
      </c>
      <c r="N46" s="36">
        <v>126.24</v>
      </c>
      <c r="O46" s="36">
        <v>0</v>
      </c>
      <c r="P46" s="37"/>
      <c r="Q46" s="37"/>
      <c r="R46" s="37"/>
      <c r="S46" s="60"/>
    </row>
    <row r="47" spans="1:19" ht="13.5" thickBot="1">
      <c r="A47" s="84"/>
      <c r="B47" s="71"/>
      <c r="C47" s="7" t="s">
        <v>39</v>
      </c>
      <c r="D47" s="1" t="s">
        <v>15</v>
      </c>
      <c r="E47" s="8">
        <f>592+E46</f>
        <v>2832.26</v>
      </c>
      <c r="F47" s="9">
        <v>3.12</v>
      </c>
      <c r="G47" s="9">
        <f>194.7+G46</f>
        <v>7184.3099999999995</v>
      </c>
      <c r="H47" s="10">
        <f>1384.18+H46</f>
        <v>20211.22</v>
      </c>
      <c r="I47" s="10">
        <f>1846.01+I46</f>
        <v>8835.619999999999</v>
      </c>
      <c r="J47" s="10">
        <f>13016.74+J46</f>
        <v>31843.78</v>
      </c>
      <c r="K47" s="10">
        <f t="shared" si="10"/>
        <v>40679.399999999994</v>
      </c>
      <c r="L47" s="10">
        <f t="shared" si="8"/>
        <v>1651.3099999999995</v>
      </c>
      <c r="M47" s="9">
        <f t="shared" si="9"/>
        <v>11632.559999999998</v>
      </c>
      <c r="N47" s="36">
        <f>145.4+397.89</f>
        <v>543.29</v>
      </c>
      <c r="O47" s="36">
        <v>0</v>
      </c>
      <c r="P47" s="37"/>
      <c r="Q47" s="37"/>
      <c r="R47" s="37"/>
      <c r="S47" s="60"/>
    </row>
    <row r="48" spans="1:19" ht="13.5" thickBot="1">
      <c r="A48" s="84"/>
      <c r="B48" s="71"/>
      <c r="C48" s="7" t="s">
        <v>39</v>
      </c>
      <c r="D48" s="1" t="s">
        <v>16</v>
      </c>
      <c r="E48" s="8">
        <f>635.75+E47</f>
        <v>3468.01</v>
      </c>
      <c r="F48" s="9">
        <v>3.12</v>
      </c>
      <c r="G48" s="9">
        <f>554.59+G47</f>
        <v>7738.9</v>
      </c>
      <c r="H48" s="10">
        <f>4977+H47</f>
        <v>25188.22</v>
      </c>
      <c r="I48" s="10">
        <f>1983.54+I47</f>
        <v>10819.16</v>
      </c>
      <c r="J48" s="10">
        <f>17801+J47</f>
        <v>49644.78</v>
      </c>
      <c r="K48" s="10">
        <f t="shared" si="10"/>
        <v>60463.94</v>
      </c>
      <c r="L48" s="10">
        <f t="shared" si="8"/>
        <v>3080.26</v>
      </c>
      <c r="M48" s="9">
        <f t="shared" si="9"/>
        <v>24456.559999999998</v>
      </c>
      <c r="N48" s="36">
        <f>65.09+993.82</f>
        <v>1058.91</v>
      </c>
      <c r="O48" s="36">
        <v>0</v>
      </c>
      <c r="P48" s="34"/>
      <c r="Q48" s="37"/>
      <c r="R48" s="37"/>
      <c r="S48" s="60"/>
    </row>
    <row r="49" spans="1:19" ht="13.5" thickBot="1">
      <c r="A49" s="84"/>
      <c r="B49" s="71"/>
      <c r="C49" s="7" t="s">
        <v>39</v>
      </c>
      <c r="D49" s="20" t="s">
        <v>36</v>
      </c>
      <c r="E49" s="11">
        <f>598.04+E48</f>
        <v>4066.05</v>
      </c>
      <c r="F49" s="10">
        <v>3.12</v>
      </c>
      <c r="G49" s="10">
        <f>510.93+G48</f>
        <v>8249.83</v>
      </c>
      <c r="H49" s="10">
        <f>5895.36+H48</f>
        <v>31083.58</v>
      </c>
      <c r="I49" s="10">
        <f>1865.87+I48</f>
        <v>12685.029999999999</v>
      </c>
      <c r="J49" s="10">
        <f>21529.26+J48</f>
        <v>71174.04</v>
      </c>
      <c r="K49" s="10">
        <f t="shared" si="10"/>
        <v>83859.06999999999</v>
      </c>
      <c r="L49" s="10">
        <f t="shared" si="8"/>
        <v>4435.199999999999</v>
      </c>
      <c r="M49" s="10">
        <f t="shared" si="9"/>
        <v>40090.45999999999</v>
      </c>
      <c r="N49" s="36">
        <v>91.33</v>
      </c>
      <c r="O49" s="36">
        <v>0</v>
      </c>
      <c r="P49" s="34"/>
      <c r="Q49" s="37"/>
      <c r="R49" s="37"/>
      <c r="S49" s="60"/>
    </row>
    <row r="50" spans="1:19" ht="13.5" thickBot="1">
      <c r="A50" s="84"/>
      <c r="B50" s="71"/>
      <c r="C50" s="7" t="s">
        <v>39</v>
      </c>
      <c r="D50" s="20" t="s">
        <v>59</v>
      </c>
      <c r="E50" s="11">
        <f>36.2+E49</f>
        <v>4102.25</v>
      </c>
      <c r="F50" s="10">
        <v>1.9</v>
      </c>
      <c r="G50" s="10">
        <f>0+G49</f>
        <v>8249.83</v>
      </c>
      <c r="H50" s="10">
        <f>0+H49</f>
        <v>31083.58</v>
      </c>
      <c r="I50" s="10">
        <f>68.78+I49</f>
        <v>12753.81</v>
      </c>
      <c r="J50" s="10">
        <f>1448+J49</f>
        <v>72622.04</v>
      </c>
      <c r="K50" s="10">
        <f t="shared" si="10"/>
        <v>85375.84999999999</v>
      </c>
      <c r="L50" s="10">
        <f t="shared" si="8"/>
        <v>4503.98</v>
      </c>
      <c r="M50" s="10">
        <f t="shared" si="9"/>
        <v>41538.45999999999</v>
      </c>
      <c r="N50" s="36"/>
      <c r="O50" s="36"/>
      <c r="P50" s="34"/>
      <c r="Q50" s="37"/>
      <c r="R50" s="37"/>
      <c r="S50" s="60"/>
    </row>
    <row r="51" spans="1:19" ht="13.5" thickBot="1">
      <c r="A51" s="84"/>
      <c r="B51" s="71"/>
      <c r="C51" s="22" t="s">
        <v>40</v>
      </c>
      <c r="D51" s="20" t="s">
        <v>12</v>
      </c>
      <c r="E51" s="11">
        <v>3504.5</v>
      </c>
      <c r="F51" s="10">
        <v>3.12</v>
      </c>
      <c r="G51" s="10">
        <v>10934.04</v>
      </c>
      <c r="H51" s="10">
        <v>10513.5</v>
      </c>
      <c r="I51" s="10">
        <v>10934.04</v>
      </c>
      <c r="J51" s="10">
        <v>10513.5</v>
      </c>
      <c r="K51" s="10">
        <f aca="true" t="shared" si="11" ref="K51:K57">SUM(I51:J51)</f>
        <v>21447.54</v>
      </c>
      <c r="L51" s="9">
        <f t="shared" si="8"/>
        <v>0</v>
      </c>
      <c r="M51" s="9">
        <f t="shared" si="9"/>
        <v>0</v>
      </c>
      <c r="N51" s="30"/>
      <c r="O51" s="30"/>
      <c r="P51" s="37"/>
      <c r="Q51" s="37"/>
      <c r="R51" s="37"/>
      <c r="S51" s="60"/>
    </row>
    <row r="52" spans="1:19" ht="13.5" thickBot="1">
      <c r="A52" s="84"/>
      <c r="B52" s="71"/>
      <c r="C52" s="22" t="s">
        <v>40</v>
      </c>
      <c r="D52" s="20" t="s">
        <v>13</v>
      </c>
      <c r="E52" s="11">
        <f>3716.5+E51</f>
        <v>7221</v>
      </c>
      <c r="F52" s="10">
        <v>3.123</v>
      </c>
      <c r="G52" s="10">
        <f>11595.48+G51</f>
        <v>22529.52</v>
      </c>
      <c r="H52" s="10">
        <f>33448.5+H51</f>
        <v>43962</v>
      </c>
      <c r="I52" s="10">
        <f>11595.48+I51</f>
        <v>22529.52</v>
      </c>
      <c r="J52" s="10">
        <f>33448.5+J51</f>
        <v>43962</v>
      </c>
      <c r="K52" s="10">
        <f t="shared" si="11"/>
        <v>66491.52</v>
      </c>
      <c r="L52" s="9">
        <f t="shared" si="8"/>
        <v>0</v>
      </c>
      <c r="M52" s="9">
        <f t="shared" si="9"/>
        <v>0</v>
      </c>
      <c r="N52" s="30"/>
      <c r="O52" s="30"/>
      <c r="P52" s="37"/>
      <c r="Q52" s="37"/>
      <c r="R52" s="37"/>
      <c r="S52" s="60"/>
    </row>
    <row r="53" spans="1:19" ht="13.5" thickBot="1">
      <c r="A53" s="84"/>
      <c r="B53" s="71"/>
      <c r="C53" s="22" t="s">
        <v>40</v>
      </c>
      <c r="D53" s="20" t="s">
        <v>14</v>
      </c>
      <c r="E53" s="11">
        <f>3351.7+E52</f>
        <v>10572.7</v>
      </c>
      <c r="F53" s="9">
        <v>3.12</v>
      </c>
      <c r="G53" s="10">
        <f>10457.3+G52</f>
        <v>32986.82</v>
      </c>
      <c r="H53" s="10">
        <f>50275.5+H52</f>
        <v>94237.5</v>
      </c>
      <c r="I53" s="10">
        <f>10457.3+I52</f>
        <v>32986.82</v>
      </c>
      <c r="J53" s="10">
        <f>50275.5+J52</f>
        <v>94237.5</v>
      </c>
      <c r="K53" s="10">
        <f t="shared" si="11"/>
        <v>127224.32</v>
      </c>
      <c r="L53" s="9">
        <f t="shared" si="8"/>
        <v>0</v>
      </c>
      <c r="M53" s="9">
        <f t="shared" si="9"/>
        <v>0</v>
      </c>
      <c r="N53" s="36"/>
      <c r="O53" s="36"/>
      <c r="P53" s="37"/>
      <c r="Q53" s="37"/>
      <c r="R53" s="37"/>
      <c r="S53" s="60"/>
    </row>
    <row r="54" spans="1:19" ht="13.5" thickBot="1">
      <c r="A54" s="84"/>
      <c r="B54" s="71"/>
      <c r="C54" s="7" t="s">
        <v>40</v>
      </c>
      <c r="D54" s="1" t="s">
        <v>15</v>
      </c>
      <c r="E54" s="8">
        <f>3400+E53</f>
        <v>13972.7</v>
      </c>
      <c r="F54" s="9">
        <v>3.12</v>
      </c>
      <c r="G54" s="9">
        <f>10608.22+G53</f>
        <v>43595.04</v>
      </c>
      <c r="H54" s="10">
        <f>74801.54+H53</f>
        <v>169039.03999999998</v>
      </c>
      <c r="I54" s="10">
        <f>10608.22+I53</f>
        <v>43595.04</v>
      </c>
      <c r="J54" s="10">
        <f>74801.54+J53</f>
        <v>169039.03999999998</v>
      </c>
      <c r="K54" s="10">
        <f t="shared" si="11"/>
        <v>212634.08</v>
      </c>
      <c r="L54" s="9">
        <f t="shared" si="8"/>
        <v>0</v>
      </c>
      <c r="M54" s="9">
        <f t="shared" si="9"/>
        <v>0</v>
      </c>
      <c r="N54" s="36"/>
      <c r="O54" s="39"/>
      <c r="P54" s="37"/>
      <c r="Q54" s="37"/>
      <c r="R54" s="37"/>
      <c r="S54" s="60"/>
    </row>
    <row r="55" spans="1:19" ht="192.75" thickBot="1">
      <c r="A55" s="84"/>
      <c r="B55" s="71"/>
      <c r="C55" s="7" t="s">
        <v>40</v>
      </c>
      <c r="D55" s="1" t="s">
        <v>16</v>
      </c>
      <c r="E55" s="8">
        <f>3328.54+E54</f>
        <v>17301.24</v>
      </c>
      <c r="F55" s="9">
        <v>3.12</v>
      </c>
      <c r="G55" s="9">
        <f>10385.05+G54</f>
        <v>53980.09</v>
      </c>
      <c r="H55" s="18">
        <f>93199.12+H54</f>
        <v>262238.16</v>
      </c>
      <c r="I55" s="10">
        <f>10385.04+I54</f>
        <v>53980.08</v>
      </c>
      <c r="J55" s="10">
        <f>93199.12+J54</f>
        <v>262238.16</v>
      </c>
      <c r="K55" s="10">
        <f t="shared" si="11"/>
        <v>316218.24</v>
      </c>
      <c r="L55" s="9">
        <f t="shared" si="8"/>
        <v>-0.00999999999476131</v>
      </c>
      <c r="M55" s="9">
        <f t="shared" si="9"/>
        <v>0</v>
      </c>
      <c r="N55" s="36"/>
      <c r="O55" s="39"/>
      <c r="P55" s="27" t="s">
        <v>4</v>
      </c>
      <c r="Q55" s="37"/>
      <c r="R55" s="37"/>
      <c r="S55" s="60"/>
    </row>
    <row r="56" spans="1:19" ht="192.75" thickBot="1">
      <c r="A56" s="84"/>
      <c r="B56" s="71"/>
      <c r="C56" s="7" t="s">
        <v>40</v>
      </c>
      <c r="D56" s="20" t="s">
        <v>36</v>
      </c>
      <c r="E56" s="11">
        <f>3036.17+E55</f>
        <v>20337.410000000003</v>
      </c>
      <c r="F56" s="10">
        <v>3.12</v>
      </c>
      <c r="G56" s="10">
        <f>9611.46+G55</f>
        <v>63591.549999999996</v>
      </c>
      <c r="H56" s="10">
        <f>110901.6+H55</f>
        <v>373139.76</v>
      </c>
      <c r="I56" s="10">
        <f>9472.85+I55</f>
        <v>63452.93</v>
      </c>
      <c r="J56" s="10">
        <f>109302.12+J55</f>
        <v>371540.27999999997</v>
      </c>
      <c r="K56" s="10">
        <f t="shared" si="11"/>
        <v>434993.20999999996</v>
      </c>
      <c r="L56" s="10">
        <f t="shared" si="8"/>
        <v>-138.61999999999534</v>
      </c>
      <c r="M56" s="10">
        <f>J56-H56</f>
        <v>-1599.4800000000396</v>
      </c>
      <c r="N56" s="36"/>
      <c r="O56" s="39"/>
      <c r="P56" s="27" t="s">
        <v>53</v>
      </c>
      <c r="Q56" s="37"/>
      <c r="R56" s="37"/>
      <c r="S56" s="60"/>
    </row>
    <row r="57" spans="1:19" ht="13.5" thickBot="1">
      <c r="A57" s="84"/>
      <c r="B57" s="71"/>
      <c r="C57" s="7" t="s">
        <v>40</v>
      </c>
      <c r="D57" s="20" t="s">
        <v>59</v>
      </c>
      <c r="E57" s="11">
        <f>291.98+E56</f>
        <v>20629.390000000003</v>
      </c>
      <c r="F57" s="10">
        <v>1.9</v>
      </c>
      <c r="G57" s="10">
        <f>279.47+G56</f>
        <v>63871.02</v>
      </c>
      <c r="H57" s="10">
        <f>6986.8+H56</f>
        <v>380126.56</v>
      </c>
      <c r="I57" s="10">
        <f>554.76+I56</f>
        <v>64007.69</v>
      </c>
      <c r="J57" s="10">
        <f>11679.2+J56</f>
        <v>383219.48</v>
      </c>
      <c r="K57" s="10">
        <f t="shared" si="11"/>
        <v>447227.17</v>
      </c>
      <c r="L57" s="10">
        <f t="shared" si="8"/>
        <v>136.67000000000553</v>
      </c>
      <c r="M57" s="10">
        <f>J57-H57</f>
        <v>3092.9199999999837</v>
      </c>
      <c r="N57" s="36"/>
      <c r="O57" s="39"/>
      <c r="P57" s="27"/>
      <c r="Q57" s="37"/>
      <c r="R57" s="37"/>
      <c r="S57" s="60"/>
    </row>
    <row r="58" spans="1:19" ht="13.5" thickBot="1">
      <c r="A58" s="84"/>
      <c r="B58" s="85"/>
      <c r="C58" s="22" t="s">
        <v>41</v>
      </c>
      <c r="D58" s="20" t="s">
        <v>46</v>
      </c>
      <c r="E58" s="11">
        <v>739.77</v>
      </c>
      <c r="F58" s="10">
        <v>3.12</v>
      </c>
      <c r="G58" s="10">
        <v>0</v>
      </c>
      <c r="H58" s="10">
        <v>0</v>
      </c>
      <c r="I58" s="10">
        <f>2308.08</f>
        <v>2308.08</v>
      </c>
      <c r="J58" s="10">
        <v>26631.72</v>
      </c>
      <c r="K58" s="10">
        <f>SUM(I58:J58)</f>
        <v>28939.800000000003</v>
      </c>
      <c r="L58" s="10">
        <f t="shared" si="8"/>
        <v>2308.08</v>
      </c>
      <c r="M58" s="10">
        <f t="shared" si="9"/>
        <v>26631.72</v>
      </c>
      <c r="N58" s="36"/>
      <c r="O58" s="39"/>
      <c r="P58" s="34"/>
      <c r="Q58" s="89"/>
      <c r="R58" s="89"/>
      <c r="S58" s="61"/>
    </row>
    <row r="59" spans="1:19" ht="13.5" thickBot="1">
      <c r="A59" s="32"/>
      <c r="B59" s="32"/>
      <c r="C59" s="6"/>
      <c r="D59" s="33"/>
      <c r="E59" s="29"/>
      <c r="F59" s="29"/>
      <c r="G59" s="29"/>
      <c r="H59" s="29"/>
      <c r="I59" s="29"/>
      <c r="J59" s="29"/>
      <c r="K59" s="29"/>
      <c r="L59" s="29"/>
      <c r="M59" s="29"/>
      <c r="N59" s="2"/>
      <c r="O59" s="2"/>
      <c r="P59" s="2"/>
      <c r="Q59" s="94"/>
      <c r="R59" s="94"/>
      <c r="S59" s="95"/>
    </row>
    <row r="60" spans="1:21" ht="15.75" customHeight="1" thickBot="1">
      <c r="A60" s="68">
        <v>4</v>
      </c>
      <c r="B60" s="87" t="s">
        <v>42</v>
      </c>
      <c r="C60" s="34" t="s">
        <v>43</v>
      </c>
      <c r="D60" s="20" t="s">
        <v>12</v>
      </c>
      <c r="E60" s="19">
        <v>2290</v>
      </c>
      <c r="F60" s="24">
        <v>4.52</v>
      </c>
      <c r="G60" s="18">
        <v>11166.39</v>
      </c>
      <c r="H60" s="18">
        <v>9953.34</v>
      </c>
      <c r="I60" s="18">
        <v>11166.39</v>
      </c>
      <c r="J60" s="18">
        <v>9953.34</v>
      </c>
      <c r="K60" s="18">
        <f aca="true" t="shared" si="12" ref="K60:K86">SUM(I60:J60)</f>
        <v>21119.73</v>
      </c>
      <c r="L60" s="18">
        <f aca="true" t="shared" si="13" ref="L60:L86">I60-G60</f>
        <v>0</v>
      </c>
      <c r="M60" s="18">
        <f aca="true" t="shared" si="14" ref="M60:M86">J60-H60</f>
        <v>0</v>
      </c>
      <c r="N60" s="18"/>
      <c r="O60" s="18"/>
      <c r="P60" s="19"/>
      <c r="Q60" s="89"/>
      <c r="R60" s="89"/>
      <c r="S60" s="62" t="s">
        <v>6</v>
      </c>
      <c r="T60" s="16"/>
      <c r="U60" s="16"/>
    </row>
    <row r="61" spans="1:21" ht="13.5" thickBot="1">
      <c r="A61" s="69"/>
      <c r="B61" s="87"/>
      <c r="C61" s="34" t="s">
        <v>43</v>
      </c>
      <c r="D61" s="20" t="s">
        <v>13</v>
      </c>
      <c r="E61" s="19">
        <f>2083+E60</f>
        <v>4373</v>
      </c>
      <c r="F61" s="21">
        <v>5.06</v>
      </c>
      <c r="G61" s="18">
        <f>10540+G60</f>
        <v>21706.39</v>
      </c>
      <c r="H61" s="18">
        <f>18747+H60</f>
        <v>28700.34</v>
      </c>
      <c r="I61" s="18">
        <f>10539.98+I60</f>
        <v>21706.37</v>
      </c>
      <c r="J61" s="18">
        <f>18747+J60</f>
        <v>28700.34</v>
      </c>
      <c r="K61" s="18">
        <f t="shared" si="12"/>
        <v>50406.71</v>
      </c>
      <c r="L61" s="18">
        <f t="shared" si="13"/>
        <v>-0.020000000000436557</v>
      </c>
      <c r="M61" s="18">
        <f t="shared" si="14"/>
        <v>0</v>
      </c>
      <c r="N61" s="18"/>
      <c r="O61" s="18"/>
      <c r="P61" s="19"/>
      <c r="Q61" s="89"/>
      <c r="R61" s="89"/>
      <c r="S61" s="63"/>
      <c r="T61" s="16"/>
      <c r="U61" s="16"/>
    </row>
    <row r="62" spans="1:21" ht="13.5" thickBot="1">
      <c r="A62" s="69"/>
      <c r="B62" s="87"/>
      <c r="C62" s="34" t="s">
        <v>43</v>
      </c>
      <c r="D62" s="20" t="s">
        <v>14</v>
      </c>
      <c r="E62" s="19">
        <f>1791.52+E61</f>
        <v>6164.52</v>
      </c>
      <c r="F62" s="21">
        <v>5.74</v>
      </c>
      <c r="G62" s="18">
        <f>10283.44+G61</f>
        <v>31989.83</v>
      </c>
      <c r="H62" s="18">
        <f>26873.1+H61</f>
        <v>55573.44</v>
      </c>
      <c r="I62" s="18">
        <f>10283.32+I61</f>
        <v>31989.69</v>
      </c>
      <c r="J62" s="18">
        <f>26872.8+J61</f>
        <v>55573.14</v>
      </c>
      <c r="K62" s="18">
        <f t="shared" si="12"/>
        <v>87562.83</v>
      </c>
      <c r="L62" s="18">
        <f t="shared" si="13"/>
        <v>-0.1400000000030559</v>
      </c>
      <c r="M62" s="18">
        <f t="shared" si="14"/>
        <v>-0.3000000000029104</v>
      </c>
      <c r="N62" s="18"/>
      <c r="O62" s="18"/>
      <c r="P62" s="19"/>
      <c r="Q62" s="89"/>
      <c r="R62" s="89"/>
      <c r="S62" s="63"/>
      <c r="T62" s="16"/>
      <c r="U62" s="16"/>
    </row>
    <row r="63" spans="1:21" ht="13.5" thickBot="1">
      <c r="A63" s="69"/>
      <c r="B63" s="87"/>
      <c r="C63" s="25" t="s">
        <v>43</v>
      </c>
      <c r="D63" s="1" t="s">
        <v>15</v>
      </c>
      <c r="E63" s="19">
        <f>1939+E62</f>
        <v>8103.52</v>
      </c>
      <c r="F63" s="17">
        <v>6.43</v>
      </c>
      <c r="G63" s="18">
        <f>12466.94+G62</f>
        <v>44456.770000000004</v>
      </c>
      <c r="H63" s="18">
        <f>42655.14+H62</f>
        <v>98228.58</v>
      </c>
      <c r="I63" s="18">
        <f>12466.93+I62</f>
        <v>44456.619999999995</v>
      </c>
      <c r="J63" s="18">
        <f>42655.14+J62</f>
        <v>98228.28</v>
      </c>
      <c r="K63" s="18">
        <f t="shared" si="12"/>
        <v>142684.9</v>
      </c>
      <c r="L63" s="18">
        <f t="shared" si="13"/>
        <v>-0.15000000000873115</v>
      </c>
      <c r="M63" s="18">
        <f t="shared" si="14"/>
        <v>-0.3000000000029104</v>
      </c>
      <c r="N63" s="18"/>
      <c r="O63" s="18"/>
      <c r="P63" s="19"/>
      <c r="Q63" s="89"/>
      <c r="R63" s="89"/>
      <c r="S63" s="63"/>
      <c r="T63" s="16"/>
      <c r="U63" s="16"/>
    </row>
    <row r="64" spans="1:21" ht="120.75" thickBot="1">
      <c r="A64" s="69"/>
      <c r="B64" s="87"/>
      <c r="C64" s="25" t="s">
        <v>43</v>
      </c>
      <c r="D64" s="1" t="s">
        <v>16</v>
      </c>
      <c r="E64" s="19">
        <f>1990.54+E63</f>
        <v>10094.060000000001</v>
      </c>
      <c r="F64" s="21">
        <v>6.43</v>
      </c>
      <c r="G64" s="18">
        <f>6065.26+G63</f>
        <v>50522.030000000006</v>
      </c>
      <c r="H64" s="18">
        <f>21220.08+H63</f>
        <v>119448.66</v>
      </c>
      <c r="I64" s="18">
        <f>12799.17+I63</f>
        <v>57255.78999999999</v>
      </c>
      <c r="J64" s="18">
        <f>55735.12+J63</f>
        <v>153963.4</v>
      </c>
      <c r="K64" s="18">
        <f t="shared" si="12"/>
        <v>211219.19</v>
      </c>
      <c r="L64" s="18">
        <f t="shared" si="13"/>
        <v>6733.7599999999875</v>
      </c>
      <c r="M64" s="18">
        <f t="shared" si="14"/>
        <v>34514.73999999999</v>
      </c>
      <c r="N64" s="36">
        <v>3355.23</v>
      </c>
      <c r="O64" s="65">
        <f>1071.78+5687.69</f>
        <v>6759.469999999999</v>
      </c>
      <c r="P64" s="28" t="s">
        <v>5</v>
      </c>
      <c r="Q64" s="89"/>
      <c r="R64" s="89"/>
      <c r="S64" s="63"/>
      <c r="T64" s="16"/>
      <c r="U64" s="16"/>
    </row>
    <row r="65" spans="1:21" ht="132.75" thickBot="1">
      <c r="A65" s="69"/>
      <c r="B65" s="87"/>
      <c r="C65" s="25" t="s">
        <v>43</v>
      </c>
      <c r="D65" s="1" t="s">
        <v>36</v>
      </c>
      <c r="E65" s="19">
        <f>1311.67+E64</f>
        <v>11405.730000000001</v>
      </c>
      <c r="F65" s="21">
        <v>6.43</v>
      </c>
      <c r="G65" s="18">
        <f>54.15+G64</f>
        <v>50576.18000000001</v>
      </c>
      <c r="H65" s="18">
        <f>3503.12+H64</f>
        <v>122951.78</v>
      </c>
      <c r="I65" s="18">
        <f>8434.04+I64</f>
        <v>65689.82999999999</v>
      </c>
      <c r="J65" s="18">
        <f>47220.12+J64</f>
        <v>201183.52</v>
      </c>
      <c r="K65" s="18">
        <f t="shared" si="12"/>
        <v>266873.35</v>
      </c>
      <c r="L65" s="18">
        <f t="shared" si="13"/>
        <v>15113.64999999998</v>
      </c>
      <c r="M65" s="18">
        <f t="shared" si="14"/>
        <v>78231.73999999999</v>
      </c>
      <c r="N65" s="36">
        <v>124.77</v>
      </c>
      <c r="O65" s="97"/>
      <c r="P65" s="28" t="s">
        <v>54</v>
      </c>
      <c r="Q65" s="89"/>
      <c r="R65" s="89"/>
      <c r="S65" s="63"/>
      <c r="T65" s="16"/>
      <c r="U65" s="16"/>
    </row>
    <row r="66" spans="1:21" ht="60.75" thickBot="1">
      <c r="A66" s="69"/>
      <c r="B66" s="87"/>
      <c r="C66" s="25" t="s">
        <v>43</v>
      </c>
      <c r="D66" s="1" t="s">
        <v>59</v>
      </c>
      <c r="E66" s="19">
        <f>290.44+E65</f>
        <v>11696.170000000002</v>
      </c>
      <c r="F66" s="49">
        <v>3.11</v>
      </c>
      <c r="G66" s="18">
        <f>903.26+G65</f>
        <v>51479.44000000001</v>
      </c>
      <c r="H66" s="18">
        <f>11617.6+H65</f>
        <v>134569.38</v>
      </c>
      <c r="I66" s="18">
        <f>903.27+I65</f>
        <v>66593.09999999999</v>
      </c>
      <c r="J66" s="18">
        <f>11617.6+J65</f>
        <v>212801.12</v>
      </c>
      <c r="K66" s="18">
        <f t="shared" si="12"/>
        <v>279394.22</v>
      </c>
      <c r="L66" s="18">
        <f>15113.66+21600.48</f>
        <v>36714.14</v>
      </c>
      <c r="M66" s="18">
        <f>78231.74+104102.44</f>
        <v>182334.18</v>
      </c>
      <c r="N66" s="36"/>
      <c r="O66" s="36"/>
      <c r="P66" s="28" t="s">
        <v>72</v>
      </c>
      <c r="Q66" s="89"/>
      <c r="R66" s="89"/>
      <c r="S66" s="63"/>
      <c r="T66" s="16"/>
      <c r="U66" s="16"/>
    </row>
    <row r="67" spans="1:21" ht="13.5" thickBot="1">
      <c r="A67" s="69"/>
      <c r="B67" s="87"/>
      <c r="C67" s="25" t="s">
        <v>67</v>
      </c>
      <c r="D67" s="1" t="s">
        <v>59</v>
      </c>
      <c r="E67" s="19">
        <f>28.42</f>
        <v>28.42</v>
      </c>
      <c r="F67" s="49">
        <v>3.11</v>
      </c>
      <c r="G67" s="18">
        <f>83.71</f>
        <v>83.71</v>
      </c>
      <c r="H67" s="18">
        <v>1076.8</v>
      </c>
      <c r="I67" s="18">
        <f>88.38</f>
        <v>88.38</v>
      </c>
      <c r="J67" s="18">
        <f>1136.8</f>
        <v>1136.8</v>
      </c>
      <c r="K67" s="18">
        <f t="shared" si="12"/>
        <v>1225.1799999999998</v>
      </c>
      <c r="L67" s="18">
        <f t="shared" si="13"/>
        <v>4.670000000000002</v>
      </c>
      <c r="M67" s="18">
        <f t="shared" si="14"/>
        <v>60</v>
      </c>
      <c r="N67" s="36"/>
      <c r="O67" s="36"/>
      <c r="P67" s="28"/>
      <c r="Q67" s="89"/>
      <c r="R67" s="89"/>
      <c r="S67" s="63"/>
      <c r="T67" s="16"/>
      <c r="U67" s="16"/>
    </row>
    <row r="68" spans="1:21" ht="13.5" thickBot="1">
      <c r="A68" s="69"/>
      <c r="B68" s="87"/>
      <c r="C68" s="34" t="s">
        <v>41</v>
      </c>
      <c r="D68" s="20" t="s">
        <v>12</v>
      </c>
      <c r="E68" s="19">
        <v>1956.22</v>
      </c>
      <c r="F68" s="24">
        <v>4.52</v>
      </c>
      <c r="G68" s="18">
        <v>8842.11</v>
      </c>
      <c r="H68" s="18">
        <v>5868.66</v>
      </c>
      <c r="I68" s="18">
        <v>8842.11</v>
      </c>
      <c r="J68" s="18">
        <v>5868.66</v>
      </c>
      <c r="K68" s="18">
        <f t="shared" si="12"/>
        <v>14710.77</v>
      </c>
      <c r="L68" s="18">
        <f t="shared" si="13"/>
        <v>0</v>
      </c>
      <c r="M68" s="18">
        <f t="shared" si="14"/>
        <v>0</v>
      </c>
      <c r="N68" s="18"/>
      <c r="O68" s="30"/>
      <c r="P68" s="37"/>
      <c r="Q68" s="89"/>
      <c r="R68" s="89"/>
      <c r="S68" s="63"/>
      <c r="T68" s="16"/>
      <c r="U68" s="16"/>
    </row>
    <row r="69" spans="1:21" ht="13.5" thickBot="1">
      <c r="A69" s="69"/>
      <c r="B69" s="87"/>
      <c r="C69" s="34" t="s">
        <v>41</v>
      </c>
      <c r="D69" s="20" t="s">
        <v>13</v>
      </c>
      <c r="E69" s="19">
        <f>2814.16+E68</f>
        <v>4770.38</v>
      </c>
      <c r="F69" s="21">
        <v>5.06</v>
      </c>
      <c r="G69" s="18">
        <f>14239.65+G68</f>
        <v>23081.760000000002</v>
      </c>
      <c r="H69" s="18">
        <f>25327.44+H68</f>
        <v>31196.1</v>
      </c>
      <c r="I69" s="18">
        <f>14239.65+I68</f>
        <v>23081.760000000002</v>
      </c>
      <c r="J69" s="18">
        <f>25327.44+J68</f>
        <v>31196.1</v>
      </c>
      <c r="K69" s="18">
        <f t="shared" si="12"/>
        <v>54277.86</v>
      </c>
      <c r="L69" s="18">
        <f t="shared" si="13"/>
        <v>0</v>
      </c>
      <c r="M69" s="18">
        <f t="shared" si="14"/>
        <v>0</v>
      </c>
      <c r="N69" s="18"/>
      <c r="O69" s="30"/>
      <c r="P69" s="37"/>
      <c r="Q69" s="89"/>
      <c r="R69" s="89"/>
      <c r="S69" s="63"/>
      <c r="T69" s="16"/>
      <c r="U69" s="16"/>
    </row>
    <row r="70" spans="1:21" ht="13.5" thickBot="1">
      <c r="A70" s="69"/>
      <c r="B70" s="87"/>
      <c r="C70" s="34" t="s">
        <v>41</v>
      </c>
      <c r="D70" s="20" t="s">
        <v>14</v>
      </c>
      <c r="E70" s="19">
        <f>2947.46+E69</f>
        <v>7717.84</v>
      </c>
      <c r="F70" s="21">
        <v>5.74</v>
      </c>
      <c r="G70" s="18">
        <f>16918.42+G69</f>
        <v>40000.18</v>
      </c>
      <c r="H70" s="18">
        <f>44211.9+H69</f>
        <v>75408</v>
      </c>
      <c r="I70" s="18">
        <f>16918.42+I69</f>
        <v>40000.18</v>
      </c>
      <c r="J70" s="18">
        <f>44211.9+J69</f>
        <v>75408</v>
      </c>
      <c r="K70" s="18">
        <f t="shared" si="12"/>
        <v>115408.18</v>
      </c>
      <c r="L70" s="18">
        <f t="shared" si="13"/>
        <v>0</v>
      </c>
      <c r="M70" s="18">
        <f t="shared" si="14"/>
        <v>0</v>
      </c>
      <c r="N70" s="18"/>
      <c r="O70" s="30"/>
      <c r="P70" s="37"/>
      <c r="Q70" s="89"/>
      <c r="R70" s="89"/>
      <c r="S70" s="63"/>
      <c r="T70" s="16"/>
      <c r="U70" s="16"/>
    </row>
    <row r="71" spans="1:21" ht="13.5" thickBot="1">
      <c r="A71" s="69"/>
      <c r="B71" s="87"/>
      <c r="C71" s="34" t="s">
        <v>41</v>
      </c>
      <c r="D71" s="20" t="s">
        <v>15</v>
      </c>
      <c r="E71" s="19">
        <f>2720+E70</f>
        <v>10437.84</v>
      </c>
      <c r="F71" s="21">
        <v>6.43</v>
      </c>
      <c r="G71" s="18">
        <f>17488.83+G70</f>
        <v>57489.01</v>
      </c>
      <c r="H71" s="18">
        <f>59837.36+H70</f>
        <v>135245.36</v>
      </c>
      <c r="I71" s="18">
        <f>17488.83+I70</f>
        <v>57489.01</v>
      </c>
      <c r="J71" s="18">
        <f>59837.36+J70</f>
        <v>135245.36</v>
      </c>
      <c r="K71" s="18">
        <f t="shared" si="12"/>
        <v>192734.37</v>
      </c>
      <c r="L71" s="18">
        <f t="shared" si="13"/>
        <v>0</v>
      </c>
      <c r="M71" s="18">
        <f t="shared" si="14"/>
        <v>0</v>
      </c>
      <c r="N71" s="18">
        <v>4237.15</v>
      </c>
      <c r="O71" s="65">
        <v>17837.17</v>
      </c>
      <c r="P71" s="37"/>
      <c r="Q71" s="89"/>
      <c r="R71" s="89"/>
      <c r="S71" s="63"/>
      <c r="T71" s="16"/>
      <c r="U71" s="16"/>
    </row>
    <row r="72" spans="1:21" ht="13.5" thickBot="1">
      <c r="A72" s="69"/>
      <c r="B72" s="87"/>
      <c r="C72" s="34" t="s">
        <v>41</v>
      </c>
      <c r="D72" s="20" t="s">
        <v>16</v>
      </c>
      <c r="E72" s="19">
        <f>2585.74+E71</f>
        <v>13023.58</v>
      </c>
      <c r="F72" s="21">
        <v>6.43</v>
      </c>
      <c r="G72" s="18">
        <f>16626.3+G71</f>
        <v>74115.31</v>
      </c>
      <c r="H72" s="18">
        <f>72400.72+H71</f>
        <v>207646.08</v>
      </c>
      <c r="I72" s="18">
        <f>16626.31+I71</f>
        <v>74115.32</v>
      </c>
      <c r="J72" s="18">
        <f>72400.72+J71</f>
        <v>207646.08</v>
      </c>
      <c r="K72" s="18">
        <f t="shared" si="12"/>
        <v>281761.4</v>
      </c>
      <c r="L72" s="18">
        <f t="shared" si="13"/>
        <v>0.010000000009313226</v>
      </c>
      <c r="M72" s="18">
        <f t="shared" si="14"/>
        <v>0</v>
      </c>
      <c r="N72" s="36">
        <f>229.6+3703.08</f>
        <v>3932.68</v>
      </c>
      <c r="O72" s="97"/>
      <c r="P72" s="37"/>
      <c r="Q72" s="89"/>
      <c r="R72" s="89"/>
      <c r="S72" s="63"/>
      <c r="T72" s="16"/>
      <c r="U72" s="16"/>
    </row>
    <row r="73" spans="1:21" ht="156.75" thickBot="1">
      <c r="A73" s="69"/>
      <c r="B73" s="87"/>
      <c r="C73" s="34" t="s">
        <v>41</v>
      </c>
      <c r="D73" s="48" t="s">
        <v>60</v>
      </c>
      <c r="E73" s="19">
        <f>1809.96+E72</f>
        <v>14833.54</v>
      </c>
      <c r="F73" s="21">
        <v>6.43</v>
      </c>
      <c r="G73" s="18">
        <f>11638.04+G72</f>
        <v>85753.35</v>
      </c>
      <c r="H73" s="18">
        <f>65158.56+H72</f>
        <v>272804.64</v>
      </c>
      <c r="I73" s="18">
        <f>11638.04+I72</f>
        <v>85753.36000000002</v>
      </c>
      <c r="J73" s="18">
        <f>65158.56+J72</f>
        <v>272804.64</v>
      </c>
      <c r="K73" s="18">
        <f t="shared" si="12"/>
        <v>358558</v>
      </c>
      <c r="L73" s="18">
        <f t="shared" si="13"/>
        <v>0.010000000009313226</v>
      </c>
      <c r="M73" s="18">
        <f t="shared" si="14"/>
        <v>0</v>
      </c>
      <c r="N73" s="36"/>
      <c r="O73" s="30"/>
      <c r="P73" s="28" t="s">
        <v>55</v>
      </c>
      <c r="Q73" s="89"/>
      <c r="R73" s="89"/>
      <c r="S73" s="63"/>
      <c r="T73" s="16"/>
      <c r="U73" s="16"/>
    </row>
    <row r="74" spans="1:21" ht="156.75" thickBot="1">
      <c r="A74" s="69"/>
      <c r="B74" s="87"/>
      <c r="C74" s="34" t="s">
        <v>41</v>
      </c>
      <c r="D74" s="1" t="s">
        <v>59</v>
      </c>
      <c r="E74" s="19">
        <f>546.01+E73</f>
        <v>15379.550000000001</v>
      </c>
      <c r="F74" s="49">
        <v>3.11</v>
      </c>
      <c r="G74" s="18">
        <f>0+G73</f>
        <v>85753.35</v>
      </c>
      <c r="H74" s="18">
        <f>0+H73</f>
        <v>272804.64</v>
      </c>
      <c r="I74" s="18">
        <f>1698.09+I73</f>
        <v>87451.45000000001</v>
      </c>
      <c r="J74" s="18">
        <f>21840.4+J73</f>
        <v>294645.04000000004</v>
      </c>
      <c r="K74" s="18">
        <f t="shared" si="12"/>
        <v>382096.49000000005</v>
      </c>
      <c r="L74" s="18">
        <f t="shared" si="13"/>
        <v>1698.1000000000058</v>
      </c>
      <c r="M74" s="18">
        <f t="shared" si="14"/>
        <v>21840.400000000023</v>
      </c>
      <c r="N74" s="36"/>
      <c r="O74" s="30"/>
      <c r="P74" s="28" t="s">
        <v>64</v>
      </c>
      <c r="Q74" s="89"/>
      <c r="R74" s="89"/>
      <c r="S74" s="63"/>
      <c r="T74" s="16"/>
      <c r="U74" s="16"/>
    </row>
    <row r="75" spans="1:21" ht="13.5" thickBot="1">
      <c r="A75" s="69"/>
      <c r="B75" s="87"/>
      <c r="C75" s="34" t="s">
        <v>44</v>
      </c>
      <c r="D75" s="20" t="s">
        <v>12</v>
      </c>
      <c r="E75" s="19">
        <v>908</v>
      </c>
      <c r="F75" s="24">
        <v>4.52</v>
      </c>
      <c r="G75" s="18">
        <v>4104.16</v>
      </c>
      <c r="H75" s="18">
        <v>2724</v>
      </c>
      <c r="I75" s="18">
        <v>4104.16</v>
      </c>
      <c r="J75" s="18">
        <v>2724</v>
      </c>
      <c r="K75" s="18">
        <f t="shared" si="12"/>
        <v>6828.16</v>
      </c>
      <c r="L75" s="18">
        <f t="shared" si="13"/>
        <v>0</v>
      </c>
      <c r="M75" s="18">
        <f t="shared" si="14"/>
        <v>0</v>
      </c>
      <c r="N75" s="18"/>
      <c r="O75" s="36"/>
      <c r="P75" s="37"/>
      <c r="Q75" s="89"/>
      <c r="R75" s="89"/>
      <c r="S75" s="63"/>
      <c r="T75" s="16"/>
      <c r="U75" s="16"/>
    </row>
    <row r="76" spans="1:21" ht="13.5" thickBot="1">
      <c r="A76" s="69"/>
      <c r="B76" s="87"/>
      <c r="C76" s="34" t="s">
        <v>44</v>
      </c>
      <c r="D76" s="20" t="s">
        <v>13</v>
      </c>
      <c r="E76" s="19">
        <f>869.36+E75</f>
        <v>1777.3600000000001</v>
      </c>
      <c r="F76" s="21">
        <v>5.06</v>
      </c>
      <c r="G76" s="18">
        <f>4398.96+G75</f>
        <v>8503.119999999999</v>
      </c>
      <c r="H76" s="18">
        <f>7824.24+H75</f>
        <v>10548.24</v>
      </c>
      <c r="I76" s="18">
        <f>4398.96+I75</f>
        <v>8503.119999999999</v>
      </c>
      <c r="J76" s="18">
        <f>7824.24+J75</f>
        <v>10548.24</v>
      </c>
      <c r="K76" s="18">
        <f t="shared" si="12"/>
        <v>19051.36</v>
      </c>
      <c r="L76" s="18">
        <f t="shared" si="13"/>
        <v>0</v>
      </c>
      <c r="M76" s="18">
        <f t="shared" si="14"/>
        <v>0</v>
      </c>
      <c r="N76" s="18"/>
      <c r="O76" s="36"/>
      <c r="P76" s="37"/>
      <c r="Q76" s="89"/>
      <c r="R76" s="89"/>
      <c r="S76" s="63"/>
      <c r="T76" s="16"/>
      <c r="U76" s="16"/>
    </row>
    <row r="77" spans="1:21" ht="13.5" thickBot="1">
      <c r="A77" s="69"/>
      <c r="B77" s="87"/>
      <c r="C77" s="34" t="s">
        <v>44</v>
      </c>
      <c r="D77" s="20" t="s">
        <v>14</v>
      </c>
      <c r="E77" s="19">
        <f>805.32+E76</f>
        <v>2582.6800000000003</v>
      </c>
      <c r="F77" s="21">
        <v>5.74</v>
      </c>
      <c r="G77" s="18">
        <f>4622.54+G76</f>
        <v>13125.66</v>
      </c>
      <c r="H77" s="18">
        <f>12079.8+H76</f>
        <v>22628.04</v>
      </c>
      <c r="I77" s="18">
        <f>4622.54+I76</f>
        <v>13125.66</v>
      </c>
      <c r="J77" s="18">
        <f>12079.8+J76</f>
        <v>22628.04</v>
      </c>
      <c r="K77" s="18">
        <f t="shared" si="12"/>
        <v>35753.7</v>
      </c>
      <c r="L77" s="18">
        <f t="shared" si="13"/>
        <v>0</v>
      </c>
      <c r="M77" s="18">
        <f t="shared" si="14"/>
        <v>0</v>
      </c>
      <c r="N77" s="18"/>
      <c r="O77" s="36"/>
      <c r="P77" s="37"/>
      <c r="Q77" s="89"/>
      <c r="R77" s="89"/>
      <c r="S77" s="63"/>
      <c r="T77" s="16"/>
      <c r="U77" s="16"/>
    </row>
    <row r="78" spans="1:21" ht="13.5" thickBot="1">
      <c r="A78" s="69"/>
      <c r="B78" s="87"/>
      <c r="C78" s="34" t="s">
        <v>44</v>
      </c>
      <c r="D78" s="20" t="s">
        <v>15</v>
      </c>
      <c r="E78" s="19">
        <f>751+E77</f>
        <v>3333.6800000000003</v>
      </c>
      <c r="F78" s="21">
        <v>6.43</v>
      </c>
      <c r="G78" s="18">
        <f>4828.15+G77</f>
        <v>17953.809999999998</v>
      </c>
      <c r="H78" s="18">
        <f>16519.36+H77</f>
        <v>39147.4</v>
      </c>
      <c r="I78" s="18">
        <f>4828.16+I77</f>
        <v>17953.82</v>
      </c>
      <c r="J78" s="18">
        <f>16519.36+J77</f>
        <v>39147.4</v>
      </c>
      <c r="K78" s="18">
        <f t="shared" si="12"/>
        <v>57101.22</v>
      </c>
      <c r="L78" s="18">
        <f t="shared" si="13"/>
        <v>0.010000000002037268</v>
      </c>
      <c r="M78" s="18">
        <f t="shared" si="14"/>
        <v>0</v>
      </c>
      <c r="N78" s="18"/>
      <c r="O78" s="36"/>
      <c r="P78" s="37"/>
      <c r="Q78" s="89"/>
      <c r="R78" s="89"/>
      <c r="S78" s="63"/>
      <c r="T78" s="16"/>
      <c r="U78" s="16"/>
    </row>
    <row r="79" spans="1:21" ht="13.5" thickBot="1">
      <c r="A79" s="69"/>
      <c r="B79" s="87"/>
      <c r="C79" s="34" t="s">
        <v>44</v>
      </c>
      <c r="D79" s="20" t="s">
        <v>16</v>
      </c>
      <c r="E79" s="19">
        <f>718.94+E78</f>
        <v>4052.6200000000003</v>
      </c>
      <c r="F79" s="21">
        <v>6.43</v>
      </c>
      <c r="G79" s="18">
        <f>4622.8+G78</f>
        <v>22576.609999999997</v>
      </c>
      <c r="H79" s="18">
        <f>20130.32+H78</f>
        <v>59277.72</v>
      </c>
      <c r="I79" s="18">
        <f>4622.78+I78</f>
        <v>22576.6</v>
      </c>
      <c r="J79" s="18">
        <f>20130.32+J78</f>
        <v>59277.72</v>
      </c>
      <c r="K79" s="18">
        <f t="shared" si="12"/>
        <v>81854.32</v>
      </c>
      <c r="L79" s="18">
        <f t="shared" si="13"/>
        <v>-0.00999999999839929</v>
      </c>
      <c r="M79" s="18">
        <f t="shared" si="14"/>
        <v>0</v>
      </c>
      <c r="N79" s="18"/>
      <c r="O79" s="36"/>
      <c r="P79" s="37"/>
      <c r="Q79" s="89"/>
      <c r="R79" s="89"/>
      <c r="S79" s="63"/>
      <c r="T79" s="16"/>
      <c r="U79" s="16"/>
    </row>
    <row r="80" spans="1:21" ht="168.75" thickBot="1">
      <c r="A80" s="69"/>
      <c r="B80" s="87"/>
      <c r="C80" s="34" t="s">
        <v>44</v>
      </c>
      <c r="D80" s="20" t="s">
        <v>36</v>
      </c>
      <c r="E80" s="19">
        <f>738.17+E79</f>
        <v>4790.79</v>
      </c>
      <c r="F80" s="21">
        <v>6.43</v>
      </c>
      <c r="G80" s="18">
        <f>4746.43+G79</f>
        <v>27323.039999999997</v>
      </c>
      <c r="H80" s="18">
        <f>26574.12+H79</f>
        <v>85851.84</v>
      </c>
      <c r="I80" s="18">
        <f>4746.43+I79</f>
        <v>27323.03</v>
      </c>
      <c r="J80" s="18">
        <f>26574.12+J79</f>
        <v>85851.84</v>
      </c>
      <c r="K80" s="18">
        <f t="shared" si="12"/>
        <v>113174.87</v>
      </c>
      <c r="L80" s="18">
        <f t="shared" si="13"/>
        <v>-0.00999999999839929</v>
      </c>
      <c r="M80" s="18">
        <f t="shared" si="14"/>
        <v>0</v>
      </c>
      <c r="N80" s="18"/>
      <c r="O80" s="36"/>
      <c r="P80" s="28" t="s">
        <v>56</v>
      </c>
      <c r="Q80" s="89"/>
      <c r="R80" s="89"/>
      <c r="S80" s="63"/>
      <c r="T80" s="16"/>
      <c r="U80" s="16"/>
    </row>
    <row r="81" spans="1:21" ht="13.5" thickBot="1">
      <c r="A81" s="69"/>
      <c r="B81" s="87"/>
      <c r="C81" s="34" t="s">
        <v>44</v>
      </c>
      <c r="D81" s="1" t="s">
        <v>59</v>
      </c>
      <c r="E81" s="19">
        <f>144.18+E80</f>
        <v>4934.97</v>
      </c>
      <c r="F81" s="49">
        <v>3.11</v>
      </c>
      <c r="G81" s="18">
        <f>448.39+G80</f>
        <v>27771.429999999997</v>
      </c>
      <c r="H81" s="18">
        <f>5767.2+H80</f>
        <v>91619.04</v>
      </c>
      <c r="I81" s="18">
        <f>448.4+I80</f>
        <v>27771.43</v>
      </c>
      <c r="J81" s="18">
        <f>5767.2+J80</f>
        <v>91619.04</v>
      </c>
      <c r="K81" s="18">
        <f t="shared" si="12"/>
        <v>119390.47</v>
      </c>
      <c r="L81" s="18">
        <f t="shared" si="13"/>
        <v>0</v>
      </c>
      <c r="M81" s="18">
        <f t="shared" si="14"/>
        <v>0</v>
      </c>
      <c r="N81" s="18"/>
      <c r="O81" s="36"/>
      <c r="P81" s="28"/>
      <c r="Q81" s="89"/>
      <c r="R81" s="89"/>
      <c r="S81" s="63"/>
      <c r="T81" s="16"/>
      <c r="U81" s="16"/>
    </row>
    <row r="82" spans="1:21" ht="13.5" thickBot="1">
      <c r="A82" s="69"/>
      <c r="B82" s="87"/>
      <c r="C82" s="34" t="s">
        <v>45</v>
      </c>
      <c r="D82" s="20" t="s">
        <v>12</v>
      </c>
      <c r="E82" s="19">
        <v>2036</v>
      </c>
      <c r="F82" s="24">
        <v>4.52</v>
      </c>
      <c r="G82" s="18">
        <v>9202.72</v>
      </c>
      <c r="H82" s="18">
        <v>6108</v>
      </c>
      <c r="I82" s="18">
        <v>9202.72</v>
      </c>
      <c r="J82" s="18">
        <v>6108</v>
      </c>
      <c r="K82" s="18">
        <f t="shared" si="12"/>
        <v>15310.72</v>
      </c>
      <c r="L82" s="18">
        <f t="shared" si="13"/>
        <v>0</v>
      </c>
      <c r="M82" s="18">
        <f t="shared" si="14"/>
        <v>0</v>
      </c>
      <c r="N82" s="18"/>
      <c r="O82" s="36"/>
      <c r="P82" s="37"/>
      <c r="Q82" s="89"/>
      <c r="R82" s="89"/>
      <c r="S82" s="63"/>
      <c r="T82" s="16"/>
      <c r="U82" s="16"/>
    </row>
    <row r="83" spans="1:21" ht="13.5" thickBot="1">
      <c r="A83" s="69"/>
      <c r="B83" s="87"/>
      <c r="C83" s="34" t="s">
        <v>45</v>
      </c>
      <c r="D83" s="20" t="s">
        <v>13</v>
      </c>
      <c r="E83" s="19">
        <f>1618.48+E82</f>
        <v>3654.48</v>
      </c>
      <c r="F83" s="21">
        <v>5.06</v>
      </c>
      <c r="G83" s="18">
        <f>8189.51+G82</f>
        <v>17392.23</v>
      </c>
      <c r="H83" s="18">
        <f>14566.32+H82</f>
        <v>20674.32</v>
      </c>
      <c r="I83" s="18">
        <f>8189.51+I82</f>
        <v>17392.23</v>
      </c>
      <c r="J83" s="18">
        <f>14566.32+J82</f>
        <v>20674.32</v>
      </c>
      <c r="K83" s="18">
        <f t="shared" si="12"/>
        <v>38066.55</v>
      </c>
      <c r="L83" s="18">
        <f t="shared" si="13"/>
        <v>0</v>
      </c>
      <c r="M83" s="18">
        <f t="shared" si="14"/>
        <v>0</v>
      </c>
      <c r="N83" s="18"/>
      <c r="O83" s="36"/>
      <c r="P83" s="37"/>
      <c r="Q83" s="89"/>
      <c r="R83" s="89"/>
      <c r="S83" s="63"/>
      <c r="T83" s="16"/>
      <c r="U83" s="16"/>
    </row>
    <row r="84" spans="1:21" ht="13.5" thickBot="1">
      <c r="A84" s="69"/>
      <c r="B84" s="87"/>
      <c r="C84" s="34" t="s">
        <v>45</v>
      </c>
      <c r="D84" s="20" t="s">
        <v>14</v>
      </c>
      <c r="E84" s="19">
        <f>1731.16+E83</f>
        <v>5385.64</v>
      </c>
      <c r="F84" s="21">
        <v>5.74</v>
      </c>
      <c r="G84" s="18">
        <f>9936.86+G83</f>
        <v>27329.09</v>
      </c>
      <c r="H84" s="18">
        <f>25967.4+H83</f>
        <v>46641.72</v>
      </c>
      <c r="I84" s="18">
        <f>9936.86+I83</f>
        <v>27329.09</v>
      </c>
      <c r="J84" s="18">
        <f>25967.4+J83</f>
        <v>46641.72</v>
      </c>
      <c r="K84" s="18">
        <f t="shared" si="12"/>
        <v>73970.81</v>
      </c>
      <c r="L84" s="18">
        <f t="shared" si="13"/>
        <v>0</v>
      </c>
      <c r="M84" s="18">
        <f t="shared" si="14"/>
        <v>0</v>
      </c>
      <c r="N84" s="18"/>
      <c r="O84" s="36"/>
      <c r="P84" s="37"/>
      <c r="Q84" s="89"/>
      <c r="R84" s="89"/>
      <c r="S84" s="63"/>
      <c r="T84" s="16"/>
      <c r="U84" s="16"/>
    </row>
    <row r="85" spans="1:21" ht="13.5" customHeight="1" thickBot="1">
      <c r="A85" s="69"/>
      <c r="B85" s="87"/>
      <c r="C85" s="34" t="s">
        <v>45</v>
      </c>
      <c r="D85" s="20" t="s">
        <v>15</v>
      </c>
      <c r="E85" s="19">
        <f>1709+E84</f>
        <v>7094.64</v>
      </c>
      <c r="F85" s="21">
        <v>6.43</v>
      </c>
      <c r="G85" s="18">
        <f>10988.37+G84</f>
        <v>38317.46</v>
      </c>
      <c r="H85" s="18">
        <f>37596.24+H84</f>
        <v>84237.95999999999</v>
      </c>
      <c r="I85" s="18">
        <f>10988.36+I84</f>
        <v>38317.45</v>
      </c>
      <c r="J85" s="18">
        <f>37596.24+J84</f>
        <v>84237.95999999999</v>
      </c>
      <c r="K85" s="18">
        <f t="shared" si="12"/>
        <v>122555.40999999999</v>
      </c>
      <c r="L85" s="18">
        <f t="shared" si="13"/>
        <v>-0.010000000002037268</v>
      </c>
      <c r="M85" s="18">
        <f t="shared" si="14"/>
        <v>0</v>
      </c>
      <c r="N85" s="30"/>
      <c r="O85" s="30"/>
      <c r="P85" s="37"/>
      <c r="Q85" s="89"/>
      <c r="R85" s="89"/>
      <c r="S85" s="63"/>
      <c r="T85" s="16"/>
      <c r="U85" s="16"/>
    </row>
    <row r="86" spans="1:21" ht="13.5" thickBot="1">
      <c r="A86" s="69"/>
      <c r="B86" s="87"/>
      <c r="C86" s="34" t="s">
        <v>45</v>
      </c>
      <c r="D86" s="20" t="s">
        <v>16</v>
      </c>
      <c r="E86" s="19">
        <f>1777.12+E85</f>
        <v>8871.76</v>
      </c>
      <c r="F86" s="21">
        <v>6.43</v>
      </c>
      <c r="G86" s="18">
        <f>11426.87+G85</f>
        <v>49744.33</v>
      </c>
      <c r="H86" s="18">
        <f>49759.36+H85</f>
        <v>133997.32</v>
      </c>
      <c r="I86" s="18">
        <f>11426.88+I85</f>
        <v>49744.329999999994</v>
      </c>
      <c r="J86" s="18">
        <f>49759.36+J85</f>
        <v>133997.32</v>
      </c>
      <c r="K86" s="18">
        <f t="shared" si="12"/>
        <v>183741.65</v>
      </c>
      <c r="L86" s="18">
        <f t="shared" si="13"/>
        <v>0</v>
      </c>
      <c r="M86" s="18">
        <f t="shared" si="14"/>
        <v>0</v>
      </c>
      <c r="N86" s="30"/>
      <c r="O86" s="30"/>
      <c r="P86" s="37"/>
      <c r="Q86" s="89"/>
      <c r="R86" s="89"/>
      <c r="S86" s="63"/>
      <c r="T86" s="16"/>
      <c r="U86" s="16"/>
    </row>
    <row r="87" spans="1:21" ht="120.75" thickBot="1">
      <c r="A87" s="69"/>
      <c r="B87" s="87"/>
      <c r="C87" s="34" t="s">
        <v>45</v>
      </c>
      <c r="D87" s="20" t="s">
        <v>36</v>
      </c>
      <c r="E87" s="19">
        <f>2241.38+E85</f>
        <v>9336.02</v>
      </c>
      <c r="F87" s="21">
        <v>6.43</v>
      </c>
      <c r="G87" s="18">
        <f>12050.08+G86</f>
        <v>61794.41</v>
      </c>
      <c r="H87" s="18">
        <f>67465.44+H86</f>
        <v>201462.76</v>
      </c>
      <c r="I87" s="18">
        <f>14412.07+I86</f>
        <v>64156.399999999994</v>
      </c>
      <c r="J87" s="18">
        <f>80689.68+J86</f>
        <v>214687</v>
      </c>
      <c r="K87" s="18">
        <f>SUM(I87:J87)</f>
        <v>278843.4</v>
      </c>
      <c r="L87" s="18">
        <f aca="true" t="shared" si="15" ref="L87:M89">I87-G87</f>
        <v>2361.9899999999907</v>
      </c>
      <c r="M87" s="18">
        <f t="shared" si="15"/>
        <v>13224.23999999999</v>
      </c>
      <c r="N87" s="30"/>
      <c r="O87" s="30"/>
      <c r="P87" s="28" t="s">
        <v>57</v>
      </c>
      <c r="Q87" s="89"/>
      <c r="R87" s="89"/>
      <c r="S87" s="63"/>
      <c r="T87" s="16"/>
      <c r="U87" s="16"/>
    </row>
    <row r="88" spans="1:21" ht="13.5" thickBot="1">
      <c r="A88" s="69"/>
      <c r="B88" s="87"/>
      <c r="C88" s="34" t="s">
        <v>45</v>
      </c>
      <c r="D88" s="1" t="s">
        <v>59</v>
      </c>
      <c r="E88" s="19">
        <f>483.72+E87</f>
        <v>9819.74</v>
      </c>
      <c r="F88" s="49">
        <v>3.11</v>
      </c>
      <c r="G88" s="18">
        <f>0+G87</f>
        <v>61794.41</v>
      </c>
      <c r="H88" s="18">
        <f>0+H87</f>
        <v>201462.76</v>
      </c>
      <c r="I88" s="18">
        <f>1504.37+I87</f>
        <v>65660.76999999999</v>
      </c>
      <c r="J88" s="18">
        <f>19348.8+J87</f>
        <v>234035.8</v>
      </c>
      <c r="K88" s="18">
        <f>SUM(I88:J88)</f>
        <v>299696.56999999995</v>
      </c>
      <c r="L88" s="18">
        <f t="shared" si="15"/>
        <v>3866.359999999986</v>
      </c>
      <c r="M88" s="18">
        <f t="shared" si="15"/>
        <v>32573.03999999998</v>
      </c>
      <c r="N88" s="30"/>
      <c r="O88" s="30"/>
      <c r="P88" s="28"/>
      <c r="Q88" s="89"/>
      <c r="R88" s="89"/>
      <c r="S88" s="63"/>
      <c r="T88" s="16"/>
      <c r="U88" s="16"/>
    </row>
    <row r="89" spans="1:21" ht="13.5" thickBot="1">
      <c r="A89" s="86"/>
      <c r="B89" s="87"/>
      <c r="C89" s="34" t="s">
        <v>61</v>
      </c>
      <c r="D89" s="1" t="s">
        <v>62</v>
      </c>
      <c r="E89" s="19">
        <v>2.7</v>
      </c>
      <c r="F89" s="49">
        <v>3.11</v>
      </c>
      <c r="G89" s="18">
        <v>0</v>
      </c>
      <c r="H89" s="18">
        <f>0</f>
        <v>0</v>
      </c>
      <c r="I89" s="18">
        <v>8.4</v>
      </c>
      <c r="J89" s="18">
        <v>108</v>
      </c>
      <c r="K89" s="18">
        <f>SUM(I89:J89)</f>
        <v>116.4</v>
      </c>
      <c r="L89" s="18">
        <f t="shared" si="15"/>
        <v>8.4</v>
      </c>
      <c r="M89" s="18">
        <f t="shared" si="15"/>
        <v>108</v>
      </c>
      <c r="N89" s="30"/>
      <c r="O89" s="30"/>
      <c r="P89" s="28"/>
      <c r="Q89" s="89"/>
      <c r="R89" s="89"/>
      <c r="S89" s="64"/>
      <c r="T89" s="16"/>
      <c r="U89" s="16"/>
    </row>
    <row r="90" spans="1:21" ht="12.75">
      <c r="A90" s="40"/>
      <c r="B90" s="41"/>
      <c r="C90" s="12"/>
      <c r="D90" s="13"/>
      <c r="E90" s="14"/>
      <c r="F90" s="15"/>
      <c r="G90" s="15"/>
      <c r="H90" s="15"/>
      <c r="I90" s="42"/>
      <c r="J90" s="42"/>
      <c r="K90" s="42"/>
      <c r="L90" s="15"/>
      <c r="M90" s="15"/>
      <c r="N90" s="43"/>
      <c r="O90" s="44"/>
      <c r="P90" s="45"/>
      <c r="Q90" s="98"/>
      <c r="R90" s="98"/>
      <c r="S90" s="45"/>
      <c r="T90" s="16"/>
      <c r="U90" s="16"/>
    </row>
    <row r="91" spans="1:19" ht="12.75">
      <c r="A91" s="99" t="s">
        <v>74</v>
      </c>
      <c r="B91" s="100"/>
      <c r="C91" s="100"/>
      <c r="D91" s="100"/>
      <c r="E91" s="100"/>
      <c r="F91" s="100"/>
      <c r="G91" s="100"/>
      <c r="H91" s="100"/>
      <c r="I91" s="100"/>
      <c r="J91" s="100"/>
      <c r="K91" s="100"/>
      <c r="L91" s="100"/>
      <c r="M91" s="101"/>
      <c r="N91" s="100"/>
      <c r="O91" s="100"/>
      <c r="P91" s="100"/>
      <c r="Q91" s="100"/>
      <c r="R91" s="100"/>
      <c r="S91" s="100"/>
    </row>
    <row r="92" spans="1:19" ht="12.75">
      <c r="A92" s="100"/>
      <c r="B92" s="100"/>
      <c r="C92" s="100"/>
      <c r="D92" s="100"/>
      <c r="E92" s="100"/>
      <c r="F92" s="100"/>
      <c r="G92" s="100"/>
      <c r="H92" s="100"/>
      <c r="I92" s="100"/>
      <c r="J92" s="100"/>
      <c r="K92" s="102"/>
      <c r="L92" s="102"/>
      <c r="M92" s="101"/>
      <c r="N92" s="100"/>
      <c r="O92" s="100"/>
      <c r="P92" s="100"/>
      <c r="Q92" s="100"/>
      <c r="R92" s="100"/>
      <c r="S92" s="100"/>
    </row>
    <row r="93" spans="1:19" ht="26.25" customHeight="1">
      <c r="A93" s="106" t="s">
        <v>49</v>
      </c>
      <c r="B93" s="106"/>
      <c r="C93" s="106"/>
      <c r="D93" s="106"/>
      <c r="E93" s="106"/>
      <c r="F93" s="106"/>
      <c r="G93" s="106"/>
      <c r="H93" s="106"/>
      <c r="I93" s="106"/>
      <c r="J93" s="106"/>
      <c r="K93" s="103"/>
      <c r="L93" s="103"/>
      <c r="M93" s="101"/>
      <c r="N93" s="100"/>
      <c r="O93" s="100"/>
      <c r="P93" s="100"/>
      <c r="Q93" s="100"/>
      <c r="R93" s="100"/>
      <c r="S93" s="100"/>
    </row>
    <row r="94" spans="1:19" ht="17.25" customHeight="1">
      <c r="A94" s="106" t="s">
        <v>63</v>
      </c>
      <c r="B94" s="106"/>
      <c r="C94" s="106"/>
      <c r="D94" s="106"/>
      <c r="E94" s="106"/>
      <c r="F94" s="106"/>
      <c r="G94" s="106"/>
      <c r="H94" s="106"/>
      <c r="I94" s="106"/>
      <c r="J94" s="106"/>
      <c r="K94" s="103"/>
      <c r="L94" s="103"/>
      <c r="M94" s="101"/>
      <c r="N94" s="100"/>
      <c r="O94" s="100"/>
      <c r="P94" s="100"/>
      <c r="Q94" s="100"/>
      <c r="R94" s="100"/>
      <c r="S94" s="100"/>
    </row>
    <row r="95" spans="1:19" ht="25.5" customHeight="1">
      <c r="A95" s="106" t="s">
        <v>70</v>
      </c>
      <c r="B95" s="106"/>
      <c r="C95" s="106"/>
      <c r="D95" s="106"/>
      <c r="E95" s="106"/>
      <c r="F95" s="106"/>
      <c r="G95" s="106"/>
      <c r="H95" s="106"/>
      <c r="I95" s="106"/>
      <c r="J95" s="106"/>
      <c r="K95" s="103"/>
      <c r="L95" s="104"/>
      <c r="M95" s="101"/>
      <c r="N95" s="100"/>
      <c r="O95" s="100"/>
      <c r="P95" s="100"/>
      <c r="Q95" s="100"/>
      <c r="R95" s="100"/>
      <c r="S95" s="100"/>
    </row>
    <row r="96" spans="1:19" ht="21" customHeight="1">
      <c r="A96" s="107" t="s">
        <v>69</v>
      </c>
      <c r="B96" s="107"/>
      <c r="C96" s="107"/>
      <c r="D96" s="107"/>
      <c r="E96" s="107"/>
      <c r="F96" s="107"/>
      <c r="G96" s="107"/>
      <c r="H96" s="107"/>
      <c r="I96" s="107"/>
      <c r="J96" s="107"/>
      <c r="K96" s="105"/>
      <c r="L96" s="105"/>
      <c r="M96" s="101"/>
      <c r="N96" s="100"/>
      <c r="O96" s="100"/>
      <c r="P96" s="100"/>
      <c r="Q96" s="100"/>
      <c r="R96" s="100"/>
      <c r="S96" s="100"/>
    </row>
    <row r="97" spans="1:19" ht="12.75">
      <c r="A97" s="101"/>
      <c r="B97" s="101"/>
      <c r="C97" s="101"/>
      <c r="D97" s="101"/>
      <c r="E97" s="101"/>
      <c r="F97" s="101"/>
      <c r="G97" s="14"/>
      <c r="H97" s="101"/>
      <c r="I97" s="101"/>
      <c r="J97" s="101"/>
      <c r="K97" s="101"/>
      <c r="L97" s="104"/>
      <c r="M97" s="104"/>
      <c r="N97" s="101"/>
      <c r="O97" s="101"/>
      <c r="P97" s="101"/>
      <c r="Q97" s="101"/>
      <c r="R97" s="101"/>
      <c r="S97" s="101"/>
    </row>
    <row r="98" spans="1:19" ht="12.75">
      <c r="A98" s="101"/>
      <c r="B98" s="101"/>
      <c r="C98" s="101"/>
      <c r="D98" s="101"/>
      <c r="E98" s="101"/>
      <c r="F98" s="101"/>
      <c r="G98" s="101"/>
      <c r="H98" s="101"/>
      <c r="I98" s="101"/>
      <c r="J98" s="101"/>
      <c r="K98" s="101"/>
      <c r="L98" s="101"/>
      <c r="M98" s="101"/>
      <c r="N98" s="101"/>
      <c r="O98" s="101"/>
      <c r="P98" s="101"/>
      <c r="Q98" s="101"/>
      <c r="R98" s="101"/>
      <c r="S98" s="101"/>
    </row>
    <row r="99" spans="1:19" ht="12.75">
      <c r="A99" s="101"/>
      <c r="B99" s="101"/>
      <c r="C99" s="101"/>
      <c r="D99" s="101"/>
      <c r="E99" s="101"/>
      <c r="F99" s="101"/>
      <c r="G99" s="101"/>
      <c r="H99" s="101"/>
      <c r="I99" s="101"/>
      <c r="J99" s="101"/>
      <c r="K99" s="101"/>
      <c r="L99" s="101"/>
      <c r="M99" s="101"/>
      <c r="N99" s="101"/>
      <c r="O99" s="101"/>
      <c r="P99" s="101"/>
      <c r="Q99" s="101"/>
      <c r="R99" s="101"/>
      <c r="S99" s="101"/>
    </row>
    <row r="100" spans="1:19" ht="12.75">
      <c r="A100" s="101"/>
      <c r="B100" s="101"/>
      <c r="C100" s="101"/>
      <c r="D100" s="101"/>
      <c r="E100" s="101"/>
      <c r="F100" s="101"/>
      <c r="G100" s="101"/>
      <c r="H100" s="101"/>
      <c r="I100" s="101"/>
      <c r="J100" s="101"/>
      <c r="K100" s="101"/>
      <c r="L100" s="101"/>
      <c r="M100" s="101"/>
      <c r="N100" s="101"/>
      <c r="O100" s="101"/>
      <c r="P100" s="101"/>
      <c r="Q100" s="101"/>
      <c r="R100" s="101"/>
      <c r="S100" s="101"/>
    </row>
    <row r="101" spans="1:19" ht="12.75">
      <c r="A101" s="101"/>
      <c r="B101" s="101"/>
      <c r="C101" s="101"/>
      <c r="D101" s="101"/>
      <c r="E101" s="101"/>
      <c r="F101" s="101"/>
      <c r="G101" s="101"/>
      <c r="H101" s="101"/>
      <c r="I101" s="101"/>
      <c r="J101" s="101"/>
      <c r="K101" s="101"/>
      <c r="L101" s="101"/>
      <c r="M101" s="101"/>
      <c r="N101" s="101"/>
      <c r="O101" s="101"/>
      <c r="P101" s="101"/>
      <c r="Q101" s="101"/>
      <c r="R101" s="101"/>
      <c r="S101" s="101"/>
    </row>
    <row r="102" spans="1:19" ht="12.75">
      <c r="A102" s="101"/>
      <c r="B102" s="101"/>
      <c r="C102" s="101"/>
      <c r="D102" s="101"/>
      <c r="E102" s="101"/>
      <c r="F102" s="101"/>
      <c r="G102" s="101"/>
      <c r="H102" s="101"/>
      <c r="I102" s="101"/>
      <c r="J102" s="101"/>
      <c r="K102" s="101"/>
      <c r="L102" s="101"/>
      <c r="M102" s="101"/>
      <c r="N102" s="101"/>
      <c r="O102" s="101"/>
      <c r="P102" s="101"/>
      <c r="Q102" s="101"/>
      <c r="R102" s="101"/>
      <c r="S102" s="101"/>
    </row>
    <row r="103" spans="1:19" ht="12.75">
      <c r="A103" s="101"/>
      <c r="B103" s="101"/>
      <c r="C103" s="101"/>
      <c r="D103" s="101"/>
      <c r="E103" s="101"/>
      <c r="F103" s="101"/>
      <c r="G103" s="101"/>
      <c r="H103" s="101"/>
      <c r="I103" s="101"/>
      <c r="J103" s="101"/>
      <c r="K103" s="101"/>
      <c r="L103" s="101"/>
      <c r="M103" s="101"/>
      <c r="N103" s="101"/>
      <c r="O103" s="101"/>
      <c r="P103" s="101"/>
      <c r="Q103" s="101"/>
      <c r="R103" s="101"/>
      <c r="S103" s="101"/>
    </row>
    <row r="104" spans="1:19" ht="12.75">
      <c r="A104" s="101"/>
      <c r="B104" s="101"/>
      <c r="C104" s="101"/>
      <c r="D104" s="101"/>
      <c r="E104" s="101"/>
      <c r="F104" s="101"/>
      <c r="G104" s="101"/>
      <c r="H104" s="101"/>
      <c r="I104" s="101"/>
      <c r="J104" s="101"/>
      <c r="K104" s="101"/>
      <c r="L104" s="101"/>
      <c r="M104" s="101"/>
      <c r="N104" s="101"/>
      <c r="O104" s="101"/>
      <c r="P104" s="101"/>
      <c r="Q104" s="101"/>
      <c r="R104" s="101"/>
      <c r="S104" s="101"/>
    </row>
    <row r="105" spans="1:19" ht="12.75">
      <c r="A105" s="101"/>
      <c r="B105" s="101"/>
      <c r="C105" s="101"/>
      <c r="D105" s="101"/>
      <c r="E105" s="101"/>
      <c r="F105" s="101"/>
      <c r="G105" s="101"/>
      <c r="H105" s="101"/>
      <c r="I105" s="101"/>
      <c r="J105" s="101"/>
      <c r="K105" s="101"/>
      <c r="L105" s="101"/>
      <c r="M105" s="101"/>
      <c r="N105" s="101"/>
      <c r="O105" s="101"/>
      <c r="P105" s="101"/>
      <c r="Q105" s="101"/>
      <c r="R105" s="101"/>
      <c r="S105" s="101"/>
    </row>
    <row r="106" spans="1:19" ht="12.75">
      <c r="A106" s="101"/>
      <c r="B106" s="101"/>
      <c r="C106" s="101"/>
      <c r="D106" s="101"/>
      <c r="E106" s="101"/>
      <c r="F106" s="101"/>
      <c r="G106" s="101"/>
      <c r="H106" s="101"/>
      <c r="I106" s="101"/>
      <c r="J106" s="101"/>
      <c r="K106" s="101"/>
      <c r="L106" s="101"/>
      <c r="M106" s="101"/>
      <c r="N106" s="101"/>
      <c r="O106" s="101"/>
      <c r="P106" s="101"/>
      <c r="Q106" s="101"/>
      <c r="R106" s="101"/>
      <c r="S106" s="101"/>
    </row>
    <row r="107" spans="1:19" ht="12.75">
      <c r="A107" s="101"/>
      <c r="B107" s="101"/>
      <c r="C107" s="101"/>
      <c r="D107" s="101"/>
      <c r="E107" s="101"/>
      <c r="F107" s="101"/>
      <c r="G107" s="101"/>
      <c r="H107" s="101"/>
      <c r="I107" s="101"/>
      <c r="J107" s="101"/>
      <c r="K107" s="101"/>
      <c r="L107" s="101"/>
      <c r="M107" s="101"/>
      <c r="N107" s="101"/>
      <c r="O107" s="101"/>
      <c r="P107" s="101"/>
      <c r="Q107" s="101"/>
      <c r="R107" s="101"/>
      <c r="S107" s="101"/>
    </row>
    <row r="108" spans="1:19" ht="12.75">
      <c r="A108" s="101"/>
      <c r="B108" s="101"/>
      <c r="C108" s="101"/>
      <c r="D108" s="101"/>
      <c r="E108" s="101"/>
      <c r="F108" s="101"/>
      <c r="G108" s="101"/>
      <c r="H108" s="101"/>
      <c r="I108" s="101"/>
      <c r="J108" s="101"/>
      <c r="K108" s="101"/>
      <c r="L108" s="101"/>
      <c r="M108" s="101"/>
      <c r="N108" s="101"/>
      <c r="O108" s="101"/>
      <c r="P108" s="101"/>
      <c r="Q108" s="101"/>
      <c r="R108" s="101"/>
      <c r="S108" s="101"/>
    </row>
    <row r="109" spans="1:19" ht="12.75">
      <c r="A109" s="101"/>
      <c r="B109" s="101"/>
      <c r="C109" s="101"/>
      <c r="D109" s="101"/>
      <c r="E109" s="101"/>
      <c r="F109" s="101"/>
      <c r="G109" s="101"/>
      <c r="H109" s="101"/>
      <c r="I109" s="101"/>
      <c r="J109" s="101"/>
      <c r="K109" s="101"/>
      <c r="L109" s="101"/>
      <c r="M109" s="101"/>
      <c r="N109" s="101"/>
      <c r="O109" s="101"/>
      <c r="P109" s="101"/>
      <c r="Q109" s="101"/>
      <c r="R109" s="101"/>
      <c r="S109" s="101"/>
    </row>
    <row r="110" spans="1:19" ht="12.75">
      <c r="A110" s="101"/>
      <c r="B110" s="101"/>
      <c r="C110" s="101"/>
      <c r="D110" s="101"/>
      <c r="E110" s="101"/>
      <c r="F110" s="101"/>
      <c r="G110" s="101"/>
      <c r="H110" s="101"/>
      <c r="I110" s="101"/>
      <c r="J110" s="101"/>
      <c r="K110" s="101"/>
      <c r="L110" s="101"/>
      <c r="M110" s="101"/>
      <c r="N110" s="101"/>
      <c r="O110" s="101"/>
      <c r="P110" s="101"/>
      <c r="Q110" s="101"/>
      <c r="R110" s="101"/>
      <c r="S110" s="101"/>
    </row>
    <row r="111" spans="1:19" ht="12.75">
      <c r="A111" s="101"/>
      <c r="B111" s="101"/>
      <c r="C111" s="101"/>
      <c r="D111" s="101"/>
      <c r="E111" s="101"/>
      <c r="F111" s="101"/>
      <c r="G111" s="101"/>
      <c r="H111" s="101"/>
      <c r="I111" s="101"/>
      <c r="J111" s="101"/>
      <c r="K111" s="101"/>
      <c r="L111" s="101"/>
      <c r="M111" s="101"/>
      <c r="N111" s="101"/>
      <c r="O111" s="101"/>
      <c r="P111" s="101"/>
      <c r="Q111" s="101"/>
      <c r="R111" s="101"/>
      <c r="S111" s="101"/>
    </row>
    <row r="112" spans="1:19" ht="12.75">
      <c r="A112" s="101"/>
      <c r="B112" s="101"/>
      <c r="C112" s="101"/>
      <c r="D112" s="101"/>
      <c r="E112" s="101"/>
      <c r="F112" s="101"/>
      <c r="G112" s="101"/>
      <c r="H112" s="101"/>
      <c r="I112" s="101"/>
      <c r="J112" s="101"/>
      <c r="K112" s="101"/>
      <c r="L112" s="101"/>
      <c r="M112" s="101"/>
      <c r="N112" s="101"/>
      <c r="O112" s="101"/>
      <c r="P112" s="101"/>
      <c r="Q112" s="101"/>
      <c r="R112" s="101"/>
      <c r="S112" s="101"/>
    </row>
    <row r="113" spans="1:19" ht="12.75">
      <c r="A113" s="101"/>
      <c r="B113" s="101"/>
      <c r="C113" s="101"/>
      <c r="D113" s="101"/>
      <c r="E113" s="101"/>
      <c r="F113" s="101"/>
      <c r="G113" s="101"/>
      <c r="H113" s="101"/>
      <c r="I113" s="101"/>
      <c r="J113" s="101"/>
      <c r="K113" s="101"/>
      <c r="L113" s="101"/>
      <c r="M113" s="101"/>
      <c r="N113" s="101"/>
      <c r="O113" s="101"/>
      <c r="P113" s="101"/>
      <c r="Q113" s="101"/>
      <c r="R113" s="101"/>
      <c r="S113" s="101"/>
    </row>
    <row r="114" spans="1:19" ht="12.75">
      <c r="A114" s="101"/>
      <c r="B114" s="101"/>
      <c r="C114" s="101"/>
      <c r="D114" s="101"/>
      <c r="E114" s="101"/>
      <c r="F114" s="101"/>
      <c r="G114" s="101"/>
      <c r="H114" s="101"/>
      <c r="I114" s="101"/>
      <c r="J114" s="101"/>
      <c r="K114" s="101"/>
      <c r="L114" s="101"/>
      <c r="M114" s="101"/>
      <c r="N114" s="101"/>
      <c r="O114" s="101"/>
      <c r="P114" s="101"/>
      <c r="Q114" s="101"/>
      <c r="R114" s="101"/>
      <c r="S114" s="101"/>
    </row>
    <row r="115" spans="1:19" ht="12.75">
      <c r="A115" s="101"/>
      <c r="B115" s="101"/>
      <c r="C115" s="101"/>
      <c r="D115" s="101"/>
      <c r="E115" s="101"/>
      <c r="F115" s="101"/>
      <c r="G115" s="101"/>
      <c r="H115" s="101"/>
      <c r="I115" s="101"/>
      <c r="J115" s="101"/>
      <c r="K115" s="101"/>
      <c r="L115" s="101"/>
      <c r="M115" s="101"/>
      <c r="N115" s="101"/>
      <c r="O115" s="101"/>
      <c r="P115" s="101"/>
      <c r="Q115" s="101"/>
      <c r="R115" s="101"/>
      <c r="S115" s="101"/>
    </row>
    <row r="116" spans="1:19" ht="12.75">
      <c r="A116" s="101"/>
      <c r="B116" s="101"/>
      <c r="C116" s="101"/>
      <c r="D116" s="101"/>
      <c r="E116" s="101"/>
      <c r="F116" s="101"/>
      <c r="G116" s="101"/>
      <c r="H116" s="101"/>
      <c r="I116" s="101"/>
      <c r="J116" s="101"/>
      <c r="K116" s="101"/>
      <c r="L116" s="101"/>
      <c r="M116" s="101"/>
      <c r="N116" s="101"/>
      <c r="O116" s="101"/>
      <c r="P116" s="101"/>
      <c r="Q116" s="101"/>
      <c r="R116" s="101"/>
      <c r="S116" s="101"/>
    </row>
  </sheetData>
  <mergeCells count="38">
    <mergeCell ref="A95:J95"/>
    <mergeCell ref="A96:J96"/>
    <mergeCell ref="A60:A89"/>
    <mergeCell ref="B60:B89"/>
    <mergeCell ref="A36:A58"/>
    <mergeCell ref="B36:B58"/>
    <mergeCell ref="A93:J93"/>
    <mergeCell ref="A94:J94"/>
    <mergeCell ref="A1:S1"/>
    <mergeCell ref="Q2:Q3"/>
    <mergeCell ref="R2:R3"/>
    <mergeCell ref="C2:C3"/>
    <mergeCell ref="J2:J3"/>
    <mergeCell ref="F2:F3"/>
    <mergeCell ref="A2:A3"/>
    <mergeCell ref="O2:O3"/>
    <mergeCell ref="K2:K3"/>
    <mergeCell ref="P2:P3"/>
    <mergeCell ref="A13:A34"/>
    <mergeCell ref="B13:B34"/>
    <mergeCell ref="I2:I3"/>
    <mergeCell ref="G2:G3"/>
    <mergeCell ref="H2:H3"/>
    <mergeCell ref="B4:B11"/>
    <mergeCell ref="B2:B3"/>
    <mergeCell ref="D2:E2"/>
    <mergeCell ref="C4:C10"/>
    <mergeCell ref="A4:A11"/>
    <mergeCell ref="S13:S33"/>
    <mergeCell ref="S60:S89"/>
    <mergeCell ref="S36:S58"/>
    <mergeCell ref="O31:O33"/>
    <mergeCell ref="O71:O72"/>
    <mergeCell ref="O64:O65"/>
    <mergeCell ref="S2:S3"/>
    <mergeCell ref="L2:L3"/>
    <mergeCell ref="M2:M3"/>
    <mergeCell ref="N2:N3"/>
  </mergeCells>
  <printOptions/>
  <pageMargins left="0.1968503937007874" right="0.1968503937007874" top="0.3937007874015748"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27" sqref="E27"/>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2017-05-04T09:23:13Z</cp:lastPrinted>
  <dcterms:created xsi:type="dcterms:W3CDTF">2014-03-20T13:05:14Z</dcterms:created>
  <dcterms:modified xsi:type="dcterms:W3CDTF">2017-05-04T09:25:44Z</dcterms:modified>
  <cp:category/>
  <cp:version/>
  <cp:contentType/>
  <cp:contentStatus/>
</cp:coreProperties>
</file>